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1100" windowHeight="7875" activeTab="0"/>
  </bookViews>
  <sheets>
    <sheet name="Instructions" sheetId="1" r:id="rId1"/>
    <sheet name="Annual Total Returns" sheetId="2" r:id="rId2"/>
    <sheet name="Annual Total Returns Logs" sheetId="3" state="hidden" r:id="rId3"/>
    <sheet name="Monthly Total Returns" sheetId="4" r:id="rId4"/>
    <sheet name="Quarterly Total Returns" sheetId="5" r:id="rId5"/>
    <sheet name="Indices" sheetId="6" state="hidden" r:id="rId6"/>
    <sheet name=" Sector Returns" sheetId="7" r:id="rId7"/>
    <sheet name="Segment Returns" sheetId="8" r:id="rId8"/>
  </sheets>
  <definedNames>
    <definedName name="Ann_1951">'Annual Total Returns'!$K$1:$Q$9</definedName>
    <definedName name="Ann_1971">'Annual Total Returns'!$R$1:$X$9</definedName>
    <definedName name="Ann_1981">'Annual Total Returns'!$Y$1:$AE$9</definedName>
    <definedName name="Ann_1991">'Annual Total Returns'!$AG$1:$AM$9</definedName>
    <definedName name="Ann_Input">'Annual Total Returns'!$B$1:$H$9</definedName>
    <definedName name="Ann_States">'Annual Total Returns'!$I$4:$I$9</definedName>
    <definedName name="coeffs_51" localSheetId="2">'Annual Total Returns Logs'!$L$1:$Q$9</definedName>
    <definedName name="coeffs_71" localSheetId="2">'Annual Total Returns Logs'!$S$1:$X$9</definedName>
    <definedName name="coeffs_81" localSheetId="2">'Annual Total Returns Logs'!$Z$1:$AE$9</definedName>
    <definedName name="coeffs_91" localSheetId="2">'Annual Total Returns Logs'!$AH$1:$AM$9</definedName>
    <definedName name="flag">'Segment Returns'!$A$4</definedName>
    <definedName name="label">'Segment Returns'!$A$1</definedName>
    <definedName name="Mon_1987">'Monthly Total Returns'!$K$1:$Q$9</definedName>
    <definedName name="Mon_1996">'Monthly Total Returns'!$R$1:$X$9</definedName>
    <definedName name="Mon_Input">'Monthly Total Returns'!$B$1:$H$9</definedName>
    <definedName name="Mon_States">'Monthly Total Returns'!$I$4:$I$9</definedName>
    <definedName name="_xlnm.Print_Area" localSheetId="1">'Annual Total Returns'!$A$1:$G$51</definedName>
    <definedName name="Quart_1992">'Quarterly Total Returns'!$K$1:$Q$9</definedName>
    <definedName name="Quart_1996">'Quarterly Total Returns'!$R$1:$X$9</definedName>
    <definedName name="Quart_Input">'Quarterly Total Returns'!$B$1:$H$9</definedName>
    <definedName name="Quart_States">'Quarterly Total Returns'!$I$4:$I$9</definedName>
    <definedName name="Sect_59">' Sector Returns'!$K$1:$S$5</definedName>
    <definedName name="Sect_71">' Sector Returns'!$T$1:$AB$5</definedName>
    <definedName name="Sect_81">' Sector Returns'!$AC$1:$AK$5</definedName>
    <definedName name="Sect_91">' Sector Returns'!$AL$1:$AT$5</definedName>
    <definedName name="Sect_Input">' Sector Returns'!$B$1:$J$5</definedName>
    <definedName name="Seg_Input">'Segment Returns'!$B$5:$AN$5</definedName>
    <definedName name="Seg_Restore">'Segment Returns'!$B$105:$AN$105</definedName>
    <definedName name="States_Default">'Annual Total Returns'!$AQ$4:$AQ$9</definedName>
  </definedNames>
  <calcPr fullCalcOnLoad="1"/>
</workbook>
</file>

<file path=xl/sharedStrings.xml><?xml version="1.0" encoding="utf-8"?>
<sst xmlns="http://schemas.openxmlformats.org/spreadsheetml/2006/main" count="848" uniqueCount="141">
  <si>
    <t>Annual Total Return %</t>
  </si>
  <si>
    <t>Actual</t>
  </si>
  <si>
    <t>Desmoothed</t>
  </si>
  <si>
    <t>Lag 1</t>
  </si>
  <si>
    <t>Equity Volatility</t>
  </si>
  <si>
    <t>Market States</t>
  </si>
  <si>
    <t>Mean</t>
  </si>
  <si>
    <t>Annualised</t>
  </si>
  <si>
    <t>Standard Deviation</t>
  </si>
  <si>
    <t>Period</t>
  </si>
  <si>
    <t>1951-2005</t>
  </si>
  <si>
    <t>1971-2005</t>
  </si>
  <si>
    <t>1981-2005</t>
  </si>
  <si>
    <t>1991-2005</t>
  </si>
  <si>
    <t>Significance</t>
  </si>
  <si>
    <t>IPD Actual</t>
  </si>
  <si>
    <t>Value of k</t>
  </si>
  <si>
    <t>Serial Correlation Lag 1</t>
  </si>
  <si>
    <t>Serial Correlation Lag 2</t>
  </si>
  <si>
    <t>1987-2005</t>
  </si>
  <si>
    <t>1995-2005</t>
  </si>
  <si>
    <t>..</t>
  </si>
  <si>
    <t>1996-2005</t>
  </si>
  <si>
    <t>JLL</t>
  </si>
  <si>
    <t>CBRE Total Ret</t>
  </si>
  <si>
    <t>CBRE</t>
  </si>
  <si>
    <t>Retail</t>
  </si>
  <si>
    <t>Office</t>
  </si>
  <si>
    <t>Industrial</t>
  </si>
  <si>
    <t>1959-2005</t>
  </si>
  <si>
    <t>All Property</t>
  </si>
  <si>
    <t>Total Return (% pa)</t>
  </si>
  <si>
    <t>Standard Shops</t>
  </si>
  <si>
    <t xml:space="preserve">  Central London</t>
  </si>
  <si>
    <t xml:space="preserve">  Rest of London</t>
  </si>
  <si>
    <t xml:space="preserve">  South East &amp; Eastern</t>
  </si>
  <si>
    <t xml:space="preserve">  Rest of UK</t>
  </si>
  <si>
    <t>Shopping Centres</t>
  </si>
  <si>
    <t>Retail Warehouses</t>
  </si>
  <si>
    <t xml:space="preserve">  Retail Parks</t>
  </si>
  <si>
    <t xml:space="preserve">  Other Retail Warehouses</t>
  </si>
  <si>
    <t>Dept / Variety Stores</t>
  </si>
  <si>
    <t>Supermarkets</t>
  </si>
  <si>
    <t>Standard Offices</t>
  </si>
  <si>
    <t xml:space="preserve">  Inner South Eastern</t>
  </si>
  <si>
    <t xml:space="preserve">  Outer South Eastern</t>
  </si>
  <si>
    <t>Standard Industrials</t>
  </si>
  <si>
    <t xml:space="preserve">  London</t>
  </si>
  <si>
    <t>Distribution Warehouses</t>
  </si>
  <si>
    <t>PAS Shopping Centres</t>
  </si>
  <si>
    <t>PAS Retail Warehouses</t>
  </si>
  <si>
    <t>PAS Office: City</t>
  </si>
  <si>
    <t>PAS Office: West End &amp; Mid Town</t>
  </si>
  <si>
    <t>PAS Office: Rest of South East</t>
  </si>
  <si>
    <t>PAS Office: Rest of UK</t>
  </si>
  <si>
    <t>All Industrial</t>
  </si>
  <si>
    <t>All Retail</t>
  </si>
  <si>
    <t>All Office</t>
  </si>
  <si>
    <t>Lag 1 Method</t>
  </si>
  <si>
    <t>Lags 1&amp;2 Method</t>
  </si>
  <si>
    <t>Scott / IPD Actual</t>
  </si>
  <si>
    <t>Desmoothed Results:</t>
  </si>
  <si>
    <t>Time Varying</t>
  </si>
  <si>
    <t>Significance (P value) Lag 1 Correlation</t>
  </si>
  <si>
    <t>Significance (P value) Lag 2 Correlation</t>
  </si>
  <si>
    <t>Significance (P Value) Lag 1</t>
  </si>
  <si>
    <t>Significance (P Value) Lag 2</t>
  </si>
  <si>
    <t>Coeff Adj</t>
  </si>
  <si>
    <t>Desmoothing Inputs: defaults for Period 1951-2005</t>
  </si>
  <si>
    <t>Desmoothing Inputs: defaults for Period 1991-2005</t>
  </si>
  <si>
    <t>Desmoothing Inputs: defaults for Period 1981-2005</t>
  </si>
  <si>
    <t>Desmoothing Inputs: defaults for Period 1971-2005</t>
  </si>
  <si>
    <t>Mean Monthly Return</t>
  </si>
  <si>
    <t>Standard Deviation Monthly Return</t>
  </si>
  <si>
    <t>Desmoothed Annual Return:</t>
  </si>
  <si>
    <t>Desmoothed Index 1950=100</t>
  </si>
  <si>
    <t>Desmoothing Inputs: defaults for Period 1987-2005</t>
  </si>
  <si>
    <t>Desmoothing Inputs: defaults for Period 1996-2005</t>
  </si>
  <si>
    <t xml:space="preserve">  Central &amp; Inner London</t>
  </si>
  <si>
    <t>PAS Standard Retails: South East</t>
  </si>
  <si>
    <t>PAS Standard Retails: Rest of UK</t>
  </si>
  <si>
    <t>PAS Industrial: South Eastern</t>
  </si>
  <si>
    <t>PAS Industrial: Rest of UK</t>
  </si>
  <si>
    <t>Desmoothed Standard Deviation : Index Standard Deviation</t>
  </si>
  <si>
    <t>Index</t>
  </si>
  <si>
    <t>1992-2005</t>
  </si>
  <si>
    <t>Ratio Desmoothed:Index Standard Deviation</t>
  </si>
  <si>
    <t>Monthly Total Return %</t>
  </si>
  <si>
    <t>Actual Scott / IPD</t>
  </si>
  <si>
    <t>Desmoothed by:</t>
  </si>
  <si>
    <t>Market States Ranges</t>
  </si>
  <si>
    <t>Adj for Market States</t>
  </si>
  <si>
    <t>FTSE Total Returns</t>
  </si>
  <si>
    <t>Select Period</t>
  </si>
  <si>
    <t>Desmoothed Monthly Standard Deviation : Index Standard Deviation</t>
  </si>
  <si>
    <t>Standard Deviation Annual Return</t>
  </si>
  <si>
    <t>Desmoothed Annual Standard Deviation : Index Standard Deviation</t>
  </si>
  <si>
    <t>Lags 1-n Method</t>
  </si>
  <si>
    <t>Annualised Total Return</t>
  </si>
  <si>
    <t>Actual IPD</t>
  </si>
  <si>
    <t>Mean Quarterly Return</t>
  </si>
  <si>
    <t>Standard Deviation Quarterly Return</t>
  </si>
  <si>
    <t>Desmoothed Quarterly Standard Deviation : Index Standard Deviation</t>
  </si>
  <si>
    <t>FTSE Returns</t>
  </si>
  <si>
    <t>Quarterly Total Return %</t>
  </si>
  <si>
    <t>Total Return Index Quarterly</t>
  </si>
  <si>
    <t>Total Return Index Annual</t>
  </si>
  <si>
    <t>Total Return Index Monthly</t>
  </si>
  <si>
    <t>Desmoothing Inputs: defaults for Period 1992-2005</t>
  </si>
  <si>
    <t xml:space="preserve">Mean Total Return </t>
  </si>
  <si>
    <t>Mean Total Return</t>
  </si>
  <si>
    <t>Desmoothed results:</t>
  </si>
  <si>
    <t>Desmoothing Inputs: defaults for Period 1959-2005</t>
  </si>
  <si>
    <t>Index results Scott / IPD</t>
  </si>
  <si>
    <t>Annual Return Index</t>
  </si>
  <si>
    <t>Desmoothing Value of k Lag 1 Method</t>
  </si>
  <si>
    <t>Ratio Desmoothed:Index</t>
  </si>
  <si>
    <t xml:space="preserve">Significance (P value) of Serial Correlation </t>
  </si>
  <si>
    <t>IPD Digest Segments</t>
  </si>
  <si>
    <t>IPD PAS Segments</t>
  </si>
  <si>
    <t>Sectors</t>
  </si>
  <si>
    <t>Index Summary Statistics</t>
  </si>
  <si>
    <t>Desmoothed Returns Summary Statistics</t>
  </si>
  <si>
    <t>Index Total Returns</t>
  </si>
  <si>
    <t>Desmoothed Total Returns</t>
  </si>
  <si>
    <t>Desmoothed Returns Index</t>
  </si>
  <si>
    <t>IPD Index</t>
  </si>
  <si>
    <t>Project Spreadsheet, December 2006</t>
  </si>
  <si>
    <t>Tony Key, Cass Business School</t>
  </si>
  <si>
    <t>Gianluca Marcato, University of Reading Business School</t>
  </si>
  <si>
    <t>tony.key@city.ac.uk</t>
  </si>
  <si>
    <t>g.marcato@reading.ac.uk</t>
  </si>
  <si>
    <t>authored by:</t>
  </si>
  <si>
    <t>IPF Index Smoothing &amp; the Volatility of UK Commercial Property</t>
  </si>
  <si>
    <t>Disclaimer</t>
  </si>
  <si>
    <t>This document is for information purposes only. The information herein is believed to be correct, but</t>
  </si>
  <si>
    <t>cannot be guaranteed, and the opinions expressed in it constitute our judgement as of this date but are</t>
  </si>
  <si>
    <t>subject to change. Reliance should not be placed on the information and opinions set out herein for the</t>
  </si>
  <si>
    <t>purposes of any particular transaction or advice. The IPF and IPF Educational Trust cannot accept any</t>
  </si>
  <si>
    <t>liability arising from any use of this document</t>
  </si>
  <si>
    <t>© 2007 Investment Property Forum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</si>
</sst>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mmm"/>
    <numFmt numFmtId="170" formatCode="[$-809]dd\ mmmm\ yyyy"/>
    <numFmt numFmtId="171" formatCode="mmm\ yyyy"/>
    <numFmt numFmtId="172" formatCode="0.0_)"/>
    <numFmt numFmtId="173" formatCode="0.0%"/>
    <numFmt numFmtId="174" formatCode="0.0000000"/>
    <numFmt numFmtId="175" formatCode="yyyy"/>
    <numFmt numFmtId="176" formatCode="0.00000000"/>
    <numFmt numFmtId="177" formatCode="0.000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0"/>
    </font>
    <font>
      <sz val="10"/>
      <name val="Courier"/>
      <family val="0"/>
    </font>
    <font>
      <b/>
      <sz val="12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41"/>
      <name val="Arial"/>
      <family val="2"/>
    </font>
    <font>
      <sz val="10"/>
      <color indexed="9"/>
      <name val="Arial"/>
      <family val="0"/>
    </font>
    <font>
      <sz val="16"/>
      <name val="Arial"/>
      <family val="0"/>
    </font>
    <font>
      <u val="single"/>
      <sz val="10"/>
      <color indexed="12"/>
      <name val="Arial"/>
      <family val="0"/>
    </font>
    <font>
      <b/>
      <sz val="15"/>
      <name val="Frutiger-BoldCn"/>
      <family val="0"/>
    </font>
    <font>
      <sz val="11"/>
      <name val="Frutiger-LightCn"/>
      <family val="0"/>
    </font>
    <font>
      <sz val="6.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/>
    </xf>
    <xf numFmtId="165" fontId="0" fillId="2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71" fontId="0" fillId="0" borderId="0" xfId="0" applyNumberFormat="1" applyFont="1" applyBorder="1" applyAlignment="1">
      <alignment/>
    </xf>
    <xf numFmtId="2" fontId="3" fillId="0" borderId="0" xfId="0" applyNumberFormat="1" applyFont="1" applyFill="1" applyAlignment="1">
      <alignment horizontal="center"/>
    </xf>
    <xf numFmtId="171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1" fillId="0" borderId="0" xfId="21" applyNumberFormat="1" applyFont="1" applyFill="1" applyAlignment="1">
      <alignment horizontal="right"/>
      <protection/>
    </xf>
    <xf numFmtId="1" fontId="1" fillId="0" borderId="0" xfId="21" applyNumberFormat="1" applyFont="1" applyFill="1" applyAlignment="1">
      <alignment horizontal="center"/>
      <protection/>
    </xf>
    <xf numFmtId="169" fontId="1" fillId="0" borderId="0" xfId="21" applyNumberFormat="1" applyFont="1" applyFill="1" applyAlignment="1">
      <alignment horizontal="right"/>
      <protection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71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  <xf numFmtId="165" fontId="2" fillId="0" borderId="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2" fontId="0" fillId="2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65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165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165" fontId="0" fillId="0" borderId="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2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2" xfId="0" applyFont="1" applyBorder="1" applyAlignment="1" quotePrefix="1">
      <alignment horizontal="center" wrapText="1"/>
    </xf>
    <xf numFmtId="0" fontId="0" fillId="0" borderId="0" xfId="0" applyFont="1" applyFill="1" applyAlignment="1">
      <alignment wrapText="1"/>
    </xf>
    <xf numFmtId="0" fontId="2" fillId="0" borderId="0" xfId="0" applyFont="1" applyAlignment="1" quotePrefix="1">
      <alignment horizontal="left" wrapText="1"/>
    </xf>
    <xf numFmtId="172" fontId="2" fillId="0" borderId="0" xfId="0" applyNumberFormat="1" applyFont="1" applyFill="1" applyAlignment="1" applyProtection="1">
      <alignment horizontal="left" wrapText="1"/>
      <protection/>
    </xf>
    <xf numFmtId="2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10" fillId="0" borderId="1" xfId="0" applyFont="1" applyBorder="1" applyAlignment="1" quotePrefix="1">
      <alignment horizontal="left"/>
    </xf>
    <xf numFmtId="165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165" fontId="2" fillId="0" borderId="0" xfId="0" applyNumberFormat="1" applyFont="1" applyBorder="1" applyAlignment="1" quotePrefix="1">
      <alignment horizontal="center" wrapText="1"/>
    </xf>
    <xf numFmtId="0" fontId="11" fillId="0" borderId="1" xfId="0" applyFont="1" applyBorder="1" applyAlignment="1">
      <alignment/>
    </xf>
    <xf numFmtId="2" fontId="0" fillId="0" borderId="0" xfId="0" applyNumberFormat="1" applyAlignment="1">
      <alignment horizontal="center"/>
    </xf>
    <xf numFmtId="0" fontId="2" fillId="0" borderId="0" xfId="0" applyFont="1" applyAlignment="1" quotePrefix="1">
      <alignment horizontal="center" wrapText="1"/>
    </xf>
    <xf numFmtId="165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65" fontId="0" fillId="0" borderId="1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12" fillId="0" borderId="2" xfId="0" applyFont="1" applyFill="1" applyBorder="1" applyAlignment="1" quotePrefix="1">
      <alignment horizontal="left"/>
    </xf>
    <xf numFmtId="0" fontId="3" fillId="3" borderId="0" xfId="0" applyFont="1" applyFill="1" applyBorder="1" applyAlignment="1">
      <alignment horizontal="center" vertical="top" wrapText="1"/>
    </xf>
    <xf numFmtId="2" fontId="0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165" fontId="0" fillId="3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3" borderId="0" xfId="0" applyNumberFormat="1" applyFill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1" xfId="0" applyFont="1" applyBorder="1" applyAlignment="1">
      <alignment/>
    </xf>
    <xf numFmtId="165" fontId="2" fillId="0" borderId="0" xfId="0" applyNumberFormat="1" applyFont="1" applyBorder="1" applyAlignment="1" quotePrefix="1">
      <alignment horizontal="center"/>
    </xf>
    <xf numFmtId="0" fontId="12" fillId="0" borderId="2" xfId="0" applyFont="1" applyBorder="1" applyAlignment="1" quotePrefix="1">
      <alignment horizontal="left"/>
    </xf>
    <xf numFmtId="0" fontId="13" fillId="0" borderId="0" xfId="0" applyFont="1" applyBorder="1" applyAlignment="1" quotePrefix="1">
      <alignment horizontal="left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" xfId="0" applyFont="1" applyBorder="1" applyAlignment="1" quotePrefix="1">
      <alignment horizontal="left"/>
    </xf>
    <xf numFmtId="0" fontId="13" fillId="0" borderId="0" xfId="0" applyFont="1" applyBorder="1" applyAlignment="1" quotePrefix="1">
      <alignment horizontal="left"/>
    </xf>
    <xf numFmtId="0" fontId="13" fillId="0" borderId="0" xfId="0" applyFont="1" applyFill="1" applyBorder="1" applyAlignment="1">
      <alignment/>
    </xf>
    <xf numFmtId="0" fontId="12" fillId="0" borderId="2" xfId="0" applyFont="1" applyFill="1" applyBorder="1" applyAlignment="1" quotePrefix="1">
      <alignment horizontal="left"/>
    </xf>
    <xf numFmtId="171" fontId="13" fillId="0" borderId="0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0" fillId="3" borderId="0" xfId="0" applyFont="1" applyFill="1" applyBorder="1" applyAlignment="1">
      <alignment/>
    </xf>
    <xf numFmtId="0" fontId="2" fillId="0" borderId="2" xfId="0" applyFont="1" applyBorder="1" applyAlignment="1" quotePrefix="1">
      <alignment horizontal="left"/>
    </xf>
    <xf numFmtId="0" fontId="2" fillId="0" borderId="0" xfId="0" applyFont="1" applyBorder="1" applyAlignment="1">
      <alignment horizontal="center" wrapText="1"/>
    </xf>
    <xf numFmtId="0" fontId="7" fillId="0" borderId="1" xfId="0" applyFont="1" applyBorder="1" applyAlignment="1" quotePrefix="1">
      <alignment horizontal="left"/>
    </xf>
    <xf numFmtId="165" fontId="0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Border="1" applyAlignment="1" quotePrefix="1">
      <alignment horizontal="left"/>
    </xf>
    <xf numFmtId="165" fontId="2" fillId="0" borderId="1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 quotePrefix="1">
      <alignment horizontal="left"/>
    </xf>
    <xf numFmtId="0" fontId="0" fillId="0" borderId="2" xfId="0" applyBorder="1" applyAlignment="1">
      <alignment horizontal="center"/>
    </xf>
    <xf numFmtId="0" fontId="2" fillId="0" borderId="2" xfId="0" applyFont="1" applyFill="1" applyBorder="1" applyAlignment="1" quotePrefix="1">
      <alignment horizontal="left"/>
    </xf>
    <xf numFmtId="0" fontId="12" fillId="0" borderId="1" xfId="0" applyFont="1" applyBorder="1" applyAlignment="1" quotePrefix="1">
      <alignment horizontal="left"/>
    </xf>
    <xf numFmtId="0" fontId="13" fillId="3" borderId="0" xfId="0" applyFont="1" applyFill="1" applyBorder="1" applyAlignment="1">
      <alignment/>
    </xf>
    <xf numFmtId="0" fontId="12" fillId="0" borderId="0" xfId="0" applyFont="1" applyBorder="1" applyAlignment="1">
      <alignment wrapText="1"/>
    </xf>
    <xf numFmtId="0" fontId="12" fillId="0" borderId="1" xfId="0" applyFont="1" applyBorder="1" applyAlignment="1">
      <alignment/>
    </xf>
    <xf numFmtId="165" fontId="12" fillId="3" borderId="0" xfId="0" applyNumberFormat="1" applyFont="1" applyFill="1" applyBorder="1" applyAlignment="1">
      <alignment horizontal="center" wrapText="1"/>
    </xf>
    <xf numFmtId="0" fontId="0" fillId="3" borderId="0" xfId="0" applyFill="1" applyAlignment="1">
      <alignment/>
    </xf>
    <xf numFmtId="172" fontId="2" fillId="0" borderId="0" xfId="0" applyNumberFormat="1" applyFont="1" applyFill="1" applyAlignment="1" applyProtection="1">
      <alignment horizontal="center" wrapText="1"/>
      <protection/>
    </xf>
    <xf numFmtId="165" fontId="2" fillId="0" borderId="1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2" xfId="0" applyFont="1" applyBorder="1" applyAlignment="1">
      <alignment/>
    </xf>
    <xf numFmtId="0" fontId="2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Continuous" vertical="center"/>
    </xf>
    <xf numFmtId="2" fontId="7" fillId="0" borderId="1" xfId="0" applyNumberFormat="1" applyFont="1" applyBorder="1" applyAlignment="1">
      <alignment horizontal="left"/>
    </xf>
    <xf numFmtId="2" fontId="0" fillId="0" borderId="1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2" fontId="0" fillId="3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165" fontId="0" fillId="0" borderId="0" xfId="0" applyNumberFormat="1" applyFont="1" applyBorder="1" applyAlignment="1">
      <alignment vertical="center"/>
    </xf>
    <xf numFmtId="165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2" fontId="7" fillId="0" borderId="1" xfId="0" applyNumberFormat="1" applyFont="1" applyBorder="1" applyAlignment="1" quotePrefix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4" borderId="0" xfId="0" applyNumberFormat="1" applyFont="1" applyFill="1" applyBorder="1" applyAlignment="1">
      <alignment horizontal="center"/>
    </xf>
    <xf numFmtId="165" fontId="0" fillId="4" borderId="0" xfId="0" applyNumberFormat="1" applyFont="1" applyFill="1" applyAlignment="1">
      <alignment horizontal="center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165" fontId="0" fillId="4" borderId="0" xfId="0" applyNumberFormat="1" applyFill="1" applyAlignment="1">
      <alignment horizontal="center"/>
    </xf>
    <xf numFmtId="2" fontId="7" fillId="0" borderId="1" xfId="0" applyNumberFormat="1" applyFont="1" applyBorder="1" applyAlignment="1" quotePrefix="1">
      <alignment horizontal="center"/>
    </xf>
    <xf numFmtId="0" fontId="11" fillId="0" borderId="0" xfId="0" applyFont="1" applyAlignment="1">
      <alignment/>
    </xf>
    <xf numFmtId="167" fontId="0" fillId="0" borderId="0" xfId="0" applyNumberFormat="1" applyFont="1" applyBorder="1" applyAlignment="1">
      <alignment horizontal="center"/>
    </xf>
    <xf numFmtId="0" fontId="10" fillId="3" borderId="0" xfId="0" applyFont="1" applyFill="1" applyAlignment="1" quotePrefix="1">
      <alignment horizontal="left"/>
    </xf>
    <xf numFmtId="0" fontId="16" fillId="3" borderId="0" xfId="0" applyFont="1" applyFill="1" applyAlignment="1" quotePrefix="1">
      <alignment horizontal="left"/>
    </xf>
    <xf numFmtId="0" fontId="0" fillId="3" borderId="2" xfId="0" applyFill="1" applyBorder="1" applyAlignment="1">
      <alignment/>
    </xf>
    <xf numFmtId="0" fontId="17" fillId="3" borderId="0" xfId="20" applyFont="1" applyFill="1" applyAlignment="1">
      <alignment/>
    </xf>
    <xf numFmtId="0" fontId="18" fillId="3" borderId="0" xfId="0" applyFont="1" applyFill="1" applyAlignment="1">
      <alignment/>
    </xf>
    <xf numFmtId="0" fontId="19" fillId="3" borderId="0" xfId="0" applyFont="1" applyFill="1" applyAlignment="1">
      <alignment/>
    </xf>
    <xf numFmtId="0" fontId="20" fillId="3" borderId="0" xfId="0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ndex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0DCDA"/>
      <rgbColor rgb="00FFFF99"/>
      <rgbColor rgb="0099CCFF"/>
      <rgbColor rgb="00FF99CC"/>
      <rgbColor rgb="00CC99FF"/>
      <rgbColor rgb="00FFCC99"/>
      <rgbColor rgb="003366FF"/>
      <rgbColor rgb="0033CCCC"/>
      <rgbColor rgb="00339999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7.emf" /><Relationship Id="rId3" Type="http://schemas.openxmlformats.org/officeDocument/2006/relationships/image" Target="../media/image18.emf" /><Relationship Id="rId4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.emf" /><Relationship Id="rId3" Type="http://schemas.openxmlformats.org/officeDocument/2006/relationships/image" Target="../media/image9.emf" /><Relationship Id="rId4" Type="http://schemas.openxmlformats.org/officeDocument/2006/relationships/image" Target="../media/image1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7.emf" /><Relationship Id="rId3" Type="http://schemas.openxmlformats.org/officeDocument/2006/relationships/image" Target="../media/image4.emf" /><Relationship Id="rId4" Type="http://schemas.openxmlformats.org/officeDocument/2006/relationships/image" Target="../media/image1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104775</xdr:rowOff>
    </xdr:from>
    <xdr:to>
      <xdr:col>11</xdr:col>
      <xdr:colOff>114300</xdr:colOff>
      <xdr:row>218</xdr:row>
      <xdr:rowOff>66675</xdr:rowOff>
    </xdr:to>
    <xdr:grpSp>
      <xdr:nvGrpSpPr>
        <xdr:cNvPr id="1" name="Group 17"/>
        <xdr:cNvGrpSpPr>
          <a:grpSpLocks/>
        </xdr:cNvGrpSpPr>
      </xdr:nvGrpSpPr>
      <xdr:grpSpPr>
        <a:xfrm>
          <a:off x="609600" y="3476625"/>
          <a:ext cx="6210300" cy="32346900"/>
          <a:chOff x="63" y="278"/>
          <a:chExt cx="652" cy="3384"/>
        </a:xfrm>
        <a:solidFill>
          <a:srgbClr val="FFFFFF"/>
        </a:solidFill>
      </xdr:grpSpPr>
      <xdr:grpSp>
        <xdr:nvGrpSpPr>
          <xdr:cNvPr id="2" name="Group 15"/>
          <xdr:cNvGrpSpPr>
            <a:grpSpLocks/>
          </xdr:cNvGrpSpPr>
        </xdr:nvGrpSpPr>
        <xdr:grpSpPr>
          <a:xfrm>
            <a:off x="63" y="278"/>
            <a:ext cx="652" cy="2855"/>
            <a:chOff x="63" y="278"/>
            <a:chExt cx="652" cy="2855"/>
          </a:xfrm>
          <a:solidFill>
            <a:srgbClr val="FFFFFF"/>
          </a:solidFill>
        </xdr:grpSpPr>
        <xdr:pic>
          <xdr:nvPicPr>
            <xdr:cNvPr id="3" name="Picture 12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63" y="278"/>
              <a:ext cx="652" cy="1036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Picture 13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63" y="1315"/>
              <a:ext cx="652" cy="90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14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63" y="2217"/>
              <a:ext cx="652" cy="916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6" name="Picture 1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63" y="3135"/>
            <a:ext cx="652" cy="5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2</xdr:row>
      <xdr:rowOff>276225</xdr:rowOff>
    </xdr:from>
    <xdr:to>
      <xdr:col>1</xdr:col>
      <xdr:colOff>19050</xdr:colOff>
      <xdr:row>4</xdr:row>
      <xdr:rowOff>19050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742950"/>
          <a:ext cx="7429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0</xdr:col>
      <xdr:colOff>9525</xdr:colOff>
      <xdr:row>4</xdr:row>
      <xdr:rowOff>19050</xdr:rowOff>
    </xdr:from>
    <xdr:to>
      <xdr:col>1</xdr:col>
      <xdr:colOff>19050</xdr:colOff>
      <xdr:row>5</xdr:row>
      <xdr:rowOff>123825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9650"/>
          <a:ext cx="7429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0</xdr:col>
      <xdr:colOff>9525</xdr:colOff>
      <xdr:row>5</xdr:row>
      <xdr:rowOff>123825</xdr:rowOff>
    </xdr:from>
    <xdr:to>
      <xdr:col>1</xdr:col>
      <xdr:colOff>19050</xdr:colOff>
      <xdr:row>7</xdr:row>
      <xdr:rowOff>66675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276350"/>
          <a:ext cx="7429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0</xdr:col>
      <xdr:colOff>9525</xdr:colOff>
      <xdr:row>7</xdr:row>
      <xdr:rowOff>66675</xdr:rowOff>
    </xdr:from>
    <xdr:to>
      <xdr:col>1</xdr:col>
      <xdr:colOff>19050</xdr:colOff>
      <xdr:row>9</xdr:row>
      <xdr:rowOff>9525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1543050"/>
          <a:ext cx="7429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3</xdr:row>
      <xdr:rowOff>28575</xdr:rowOff>
    </xdr:from>
    <xdr:to>
      <xdr:col>1</xdr:col>
      <xdr:colOff>0</xdr:colOff>
      <xdr:row>4</xdr:row>
      <xdr:rowOff>133350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895350"/>
          <a:ext cx="9620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0</xdr:col>
      <xdr:colOff>9525</xdr:colOff>
      <xdr:row>4</xdr:row>
      <xdr:rowOff>133350</xdr:rowOff>
    </xdr:from>
    <xdr:to>
      <xdr:col>1</xdr:col>
      <xdr:colOff>0</xdr:colOff>
      <xdr:row>6</xdr:row>
      <xdr:rowOff>76200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162050"/>
          <a:ext cx="9620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3</xdr:row>
      <xdr:rowOff>0</xdr:rowOff>
    </xdr:from>
    <xdr:to>
      <xdr:col>0</xdr:col>
      <xdr:colOff>971550</xdr:colOff>
      <xdr:row>4</xdr:row>
      <xdr:rowOff>104775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847725"/>
          <a:ext cx="9620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0</xdr:col>
      <xdr:colOff>9525</xdr:colOff>
      <xdr:row>4</xdr:row>
      <xdr:rowOff>104775</xdr:rowOff>
    </xdr:from>
    <xdr:to>
      <xdr:col>0</xdr:col>
      <xdr:colOff>971550</xdr:colOff>
      <xdr:row>6</xdr:row>
      <xdr:rowOff>47625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114425"/>
          <a:ext cx="9620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304800</xdr:rowOff>
    </xdr:from>
    <xdr:to>
      <xdr:col>0</xdr:col>
      <xdr:colOff>781050</xdr:colOff>
      <xdr:row>1</xdr:row>
      <xdr:rowOff>180975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304800"/>
          <a:ext cx="7429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0</xdr:col>
      <xdr:colOff>38100</xdr:colOff>
      <xdr:row>1</xdr:row>
      <xdr:rowOff>200025</xdr:rowOff>
    </xdr:from>
    <xdr:to>
      <xdr:col>0</xdr:col>
      <xdr:colOff>781050</xdr:colOff>
      <xdr:row>3</xdr:row>
      <xdr:rowOff>66675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590550"/>
          <a:ext cx="7429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0</xdr:col>
      <xdr:colOff>38100</xdr:colOff>
      <xdr:row>3</xdr:row>
      <xdr:rowOff>85725</xdr:rowOff>
    </xdr:from>
    <xdr:to>
      <xdr:col>0</xdr:col>
      <xdr:colOff>781050</xdr:colOff>
      <xdr:row>5</xdr:row>
      <xdr:rowOff>28575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876300"/>
          <a:ext cx="7429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0</xdr:col>
      <xdr:colOff>38100</xdr:colOff>
      <xdr:row>5</xdr:row>
      <xdr:rowOff>38100</xdr:rowOff>
    </xdr:from>
    <xdr:to>
      <xdr:col>0</xdr:col>
      <xdr:colOff>781050</xdr:colOff>
      <xdr:row>6</xdr:row>
      <xdr:rowOff>142875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1152525"/>
          <a:ext cx="7429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381000</xdr:colOff>
      <xdr:row>3</xdr:row>
      <xdr:rowOff>38100</xdr:rowOff>
    </xdr:from>
    <xdr:to>
      <xdr:col>0</xdr:col>
      <xdr:colOff>1123950</xdr:colOff>
      <xdr:row>3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76275"/>
          <a:ext cx="7429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0</xdr:col>
      <xdr:colOff>381000</xdr:colOff>
      <xdr:row>3</xdr:row>
      <xdr:rowOff>314325</xdr:rowOff>
    </xdr:from>
    <xdr:to>
      <xdr:col>0</xdr:col>
      <xdr:colOff>1123950</xdr:colOff>
      <xdr:row>3</xdr:row>
      <xdr:rowOff>581025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952500"/>
          <a:ext cx="7429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ny.key@city.ac.uk" TargetMode="External" /><Relationship Id="rId2" Type="http://schemas.openxmlformats.org/officeDocument/2006/relationships/hyperlink" Target="mailto:g.marcato@reading.ac.uk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1"/>
  </sheetPr>
  <dimension ref="B3:M217"/>
  <sheetViews>
    <sheetView showGridLines="0" tabSelected="1" workbookViewId="0" topLeftCell="A1">
      <selection activeCell="M217" sqref="M217"/>
    </sheetView>
  </sheetViews>
  <sheetFormatPr defaultColWidth="9.140625" defaultRowHeight="12.75"/>
  <cols>
    <col min="1" max="16384" width="9.140625" style="132" customWidth="1"/>
  </cols>
  <sheetData>
    <row r="3" ht="23.25">
      <c r="B3" s="159" t="s">
        <v>133</v>
      </c>
    </row>
    <row r="5" ht="20.25">
      <c r="B5" s="160" t="s">
        <v>127</v>
      </c>
    </row>
    <row r="7" spans="2:10" ht="12.75">
      <c r="B7" s="161" t="s">
        <v>132</v>
      </c>
      <c r="C7" s="161"/>
      <c r="D7" s="161"/>
      <c r="E7" s="161"/>
      <c r="F7" s="161"/>
      <c r="G7" s="161"/>
      <c r="H7" s="161"/>
      <c r="I7" s="161"/>
      <c r="J7" s="161"/>
    </row>
    <row r="8" spans="2:8" ht="12.75">
      <c r="B8" s="132" t="s">
        <v>128</v>
      </c>
      <c r="H8" s="162" t="s">
        <v>130</v>
      </c>
    </row>
    <row r="9" spans="2:8" ht="12.75">
      <c r="B9" s="132" t="s">
        <v>129</v>
      </c>
      <c r="H9" s="162" t="s">
        <v>131</v>
      </c>
    </row>
    <row r="13" ht="19.5">
      <c r="B13" s="163" t="s">
        <v>134</v>
      </c>
    </row>
    <row r="14" ht="15">
      <c r="B14" s="164" t="s">
        <v>135</v>
      </c>
    </row>
    <row r="15" ht="15">
      <c r="B15" s="164" t="s">
        <v>136</v>
      </c>
    </row>
    <row r="16" ht="15">
      <c r="B16" s="164" t="s">
        <v>137</v>
      </c>
    </row>
    <row r="17" ht="15">
      <c r="B17" s="164" t="s">
        <v>138</v>
      </c>
    </row>
    <row r="18" ht="15">
      <c r="B18" s="164" t="s">
        <v>139</v>
      </c>
    </row>
    <row r="217" ht="12.75">
      <c r="M217" s="165" t="s">
        <v>140</v>
      </c>
    </row>
  </sheetData>
  <hyperlinks>
    <hyperlink ref="H8" r:id="rId1" display="tony.key@city.ac.uk"/>
    <hyperlink ref="H9" r:id="rId2" display="g.marcato@reading.ac.uk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Q179"/>
  <sheetViews>
    <sheetView showGridLines="0" defaultGridColor="0" colorId="12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11.00390625" style="1" customWidth="1"/>
    <col min="2" max="2" width="14.28125" style="5" customWidth="1"/>
    <col min="3" max="7" width="14.28125" style="2" customWidth="1"/>
    <col min="8" max="8" width="13.140625" style="2" customWidth="1"/>
    <col min="9" max="9" width="13.7109375" style="2" customWidth="1"/>
    <col min="10" max="10" width="8.28125" style="2" hidden="1" customWidth="1"/>
    <col min="11" max="13" width="9.140625" style="0" hidden="1" customWidth="1"/>
    <col min="14" max="14" width="8.7109375" style="0" hidden="1" customWidth="1"/>
    <col min="15" max="43" width="9.140625" style="0" hidden="1" customWidth="1"/>
  </cols>
  <sheetData>
    <row r="1" spans="1:41" s="157" customFormat="1" ht="24" thickBot="1">
      <c r="A1" s="78"/>
      <c r="B1" s="78" t="s">
        <v>69</v>
      </c>
      <c r="C1" s="84"/>
      <c r="D1" s="84"/>
      <c r="E1" s="84"/>
      <c r="F1" s="84"/>
      <c r="G1" s="84"/>
      <c r="H1" s="84"/>
      <c r="I1" s="84"/>
      <c r="J1" s="84"/>
      <c r="K1" s="78" t="s">
        <v>68</v>
      </c>
      <c r="L1" s="84"/>
      <c r="M1" s="84"/>
      <c r="N1" s="84"/>
      <c r="O1" s="84"/>
      <c r="P1" s="84"/>
      <c r="Q1" s="84"/>
      <c r="R1" s="78" t="s">
        <v>71</v>
      </c>
      <c r="S1" s="84"/>
      <c r="T1" s="84"/>
      <c r="U1" s="84"/>
      <c r="V1" s="84"/>
      <c r="W1" s="84"/>
      <c r="X1" s="84"/>
      <c r="Y1" s="78" t="s">
        <v>70</v>
      </c>
      <c r="Z1" s="84"/>
      <c r="AA1" s="84"/>
      <c r="AB1" s="84"/>
      <c r="AC1" s="84"/>
      <c r="AD1" s="84"/>
      <c r="AE1" s="84"/>
      <c r="AF1" s="84"/>
      <c r="AG1" s="78" t="s">
        <v>69</v>
      </c>
      <c r="AH1" s="84"/>
      <c r="AI1" s="84"/>
      <c r="AJ1" s="84"/>
      <c r="AK1" s="84"/>
      <c r="AL1" s="84"/>
      <c r="AM1" s="84"/>
      <c r="AN1" s="84"/>
      <c r="AO1" s="84"/>
    </row>
    <row r="2" spans="2:41" ht="12.75" customHeight="1">
      <c r="B2"/>
      <c r="C2"/>
      <c r="D2"/>
      <c r="J2"/>
      <c r="P2" s="2"/>
      <c r="Q2" s="2"/>
      <c r="R2" s="2"/>
      <c r="S2" s="2"/>
      <c r="T2" s="2"/>
      <c r="U2" s="2"/>
      <c r="V2" s="2"/>
      <c r="W2" s="2"/>
      <c r="AJ2" s="2"/>
      <c r="AK2" s="2"/>
      <c r="AL2" s="2"/>
      <c r="AM2" s="2"/>
      <c r="AN2" s="2"/>
      <c r="AO2" s="2"/>
    </row>
    <row r="3" spans="1:41" ht="28.5" customHeight="1">
      <c r="A3" s="94" t="s">
        <v>93</v>
      </c>
      <c r="B3" s="59"/>
      <c r="C3" s="36" t="s">
        <v>58</v>
      </c>
      <c r="D3" s="36" t="s">
        <v>59</v>
      </c>
      <c r="E3" s="36" t="s">
        <v>4</v>
      </c>
      <c r="F3" s="36" t="s">
        <v>5</v>
      </c>
      <c r="G3" s="36" t="s">
        <v>62</v>
      </c>
      <c r="H3" s="70" t="s">
        <v>90</v>
      </c>
      <c r="I3" s="70" t="s">
        <v>91</v>
      </c>
      <c r="J3" s="59"/>
      <c r="K3" s="59"/>
      <c r="L3" s="36" t="s">
        <v>58</v>
      </c>
      <c r="M3" s="36" t="s">
        <v>59</v>
      </c>
      <c r="N3" s="36" t="s">
        <v>4</v>
      </c>
      <c r="O3" s="36" t="s">
        <v>5</v>
      </c>
      <c r="P3" s="36" t="s">
        <v>62</v>
      </c>
      <c r="Q3" s="70" t="s">
        <v>90</v>
      </c>
      <c r="R3" s="59"/>
      <c r="S3" s="36" t="s">
        <v>58</v>
      </c>
      <c r="T3" s="36" t="s">
        <v>59</v>
      </c>
      <c r="U3" s="36" t="s">
        <v>4</v>
      </c>
      <c r="V3" s="36" t="s">
        <v>5</v>
      </c>
      <c r="W3" s="36" t="s">
        <v>62</v>
      </c>
      <c r="X3" s="70" t="s">
        <v>90</v>
      </c>
      <c r="Y3" s="59"/>
      <c r="Z3" s="36" t="s">
        <v>58</v>
      </c>
      <c r="AA3" s="36" t="s">
        <v>59</v>
      </c>
      <c r="AB3" s="36" t="s">
        <v>4</v>
      </c>
      <c r="AC3" s="36" t="s">
        <v>5</v>
      </c>
      <c r="AD3" s="36" t="s">
        <v>62</v>
      </c>
      <c r="AE3" s="70" t="s">
        <v>90</v>
      </c>
      <c r="AF3" s="59"/>
      <c r="AG3" s="59"/>
      <c r="AH3" s="36" t="s">
        <v>58</v>
      </c>
      <c r="AI3" s="36" t="s">
        <v>59</v>
      </c>
      <c r="AJ3" s="36" t="s">
        <v>4</v>
      </c>
      <c r="AK3" s="36" t="s">
        <v>5</v>
      </c>
      <c r="AL3" s="36" t="s">
        <v>62</v>
      </c>
      <c r="AM3" s="70" t="s">
        <v>90</v>
      </c>
      <c r="AN3" s="2"/>
      <c r="AO3" s="2"/>
    </row>
    <row r="4" spans="1:43" ht="12.75">
      <c r="A4" s="114"/>
      <c r="B4" s="40"/>
      <c r="C4" s="95">
        <f>CORREL(B102:B115,B103:B116)</f>
        <v>0.26610950010614237</v>
      </c>
      <c r="D4" s="95">
        <v>0.10828192301546571</v>
      </c>
      <c r="E4" s="95">
        <f>+C4</f>
        <v>0.26610950010614237</v>
      </c>
      <c r="F4" s="95">
        <f aca="true" t="shared" si="0" ref="F4:F9">$C$4+I4</f>
        <v>0.3411095001061424</v>
      </c>
      <c r="G4" s="95">
        <v>1</v>
      </c>
      <c r="H4" s="87">
        <f>+B21+2*B26</f>
        <v>24.67511126029916</v>
      </c>
      <c r="I4" s="99">
        <v>0.075</v>
      </c>
      <c r="J4" s="40"/>
      <c r="K4" s="40"/>
      <c r="L4" s="95" t="e">
        <f>CORREL(K62:K115,K63:K116)</f>
        <v>#DIV/0!</v>
      </c>
      <c r="M4" s="95">
        <v>0.3267414949331623</v>
      </c>
      <c r="N4" s="95" t="e">
        <f>+L4</f>
        <v>#DIV/0!</v>
      </c>
      <c r="O4" s="95">
        <f aca="true" t="shared" si="1" ref="O4:O9">$C$4+R4</f>
        <v>0.26610950010614237</v>
      </c>
      <c r="P4" s="95">
        <v>1</v>
      </c>
      <c r="Q4" s="87">
        <f>+K18+2*K23</f>
        <v>0</v>
      </c>
      <c r="R4" s="38"/>
      <c r="S4" s="95" t="e">
        <f>CORREL(R82:R115,R83:R116)</f>
        <v>#DIV/0!</v>
      </c>
      <c r="T4" s="95">
        <v>0.34308672601358</v>
      </c>
      <c r="U4" s="95" t="e">
        <f>+S4</f>
        <v>#DIV/0!</v>
      </c>
      <c r="V4" s="95">
        <f aca="true" t="shared" si="2" ref="V4:V9">$C$4+Y4</f>
        <v>0.26610950010614237</v>
      </c>
      <c r="W4" s="95">
        <v>1</v>
      </c>
      <c r="X4" s="87">
        <f>+R19+2*R24</f>
        <v>0</v>
      </c>
      <c r="Y4" s="85"/>
      <c r="Z4" s="95" t="e">
        <f>CORREL(Y92:Y115,Y93:Y116)</f>
        <v>#DIV/0!</v>
      </c>
      <c r="AA4" s="95">
        <v>0.6131354698782923</v>
      </c>
      <c r="AB4" s="95" t="e">
        <f>+Z4</f>
        <v>#DIV/0!</v>
      </c>
      <c r="AC4" s="95">
        <f aca="true" t="shared" si="3" ref="AC4:AC9">$C$4+AF4</f>
        <v>0.26610950010614237</v>
      </c>
      <c r="AD4" s="95">
        <v>1</v>
      </c>
      <c r="AE4" s="87">
        <f>+Y20+2*Y25</f>
        <v>0</v>
      </c>
      <c r="AF4" s="40"/>
      <c r="AG4" s="40"/>
      <c r="AH4" s="95" t="e">
        <f>CORREL(AG102:AG115,AG103:AG116)</f>
        <v>#DIV/0!</v>
      </c>
      <c r="AI4" s="95">
        <v>0.10828192301546571</v>
      </c>
      <c r="AJ4" s="95" t="e">
        <f>+AH4</f>
        <v>#DIV/0!</v>
      </c>
      <c r="AK4" s="95">
        <f aca="true" t="shared" si="4" ref="AK4:AK9">$C$4+AN4</f>
        <v>0.26610950010614237</v>
      </c>
      <c r="AL4" s="95">
        <v>1</v>
      </c>
      <c r="AM4" s="87">
        <f>+AG21+2*AG26</f>
        <v>0</v>
      </c>
      <c r="AN4" s="2"/>
      <c r="AO4" s="2"/>
      <c r="AQ4" s="99">
        <v>0.075</v>
      </c>
    </row>
    <row r="5" spans="1:43" ht="12.75">
      <c r="A5" s="114"/>
      <c r="B5" s="40"/>
      <c r="C5" s="38"/>
      <c r="D5" s="95">
        <v>-0.7469745303074585</v>
      </c>
      <c r="E5" s="96">
        <v>2</v>
      </c>
      <c r="F5" s="95">
        <f t="shared" si="0"/>
        <v>0.24110950010614238</v>
      </c>
      <c r="G5" s="16"/>
      <c r="H5" s="87">
        <f>+B21+B26</f>
        <v>17.65678929681625</v>
      </c>
      <c r="I5" s="99">
        <v>-0.025</v>
      </c>
      <c r="J5" s="40"/>
      <c r="K5" s="40"/>
      <c r="L5" s="38"/>
      <c r="M5" s="95">
        <v>-0.07568024193555181</v>
      </c>
      <c r="N5" s="96">
        <v>2</v>
      </c>
      <c r="O5" s="95">
        <f t="shared" si="1"/>
        <v>0.26610950010614237</v>
      </c>
      <c r="P5" s="16"/>
      <c r="Q5" s="87">
        <f>+K18+K23</f>
        <v>0</v>
      </c>
      <c r="R5" s="38"/>
      <c r="S5" s="38"/>
      <c r="T5" s="95">
        <v>-0.25931739130796283</v>
      </c>
      <c r="U5" s="96">
        <v>2</v>
      </c>
      <c r="V5" s="95">
        <f t="shared" si="2"/>
        <v>0.26610950010614237</v>
      </c>
      <c r="W5" s="16"/>
      <c r="X5" s="87">
        <f>+R19+R24</f>
        <v>0</v>
      </c>
      <c r="Y5" s="85"/>
      <c r="Z5" s="38"/>
      <c r="AA5" s="95">
        <v>-0.499671662616796</v>
      </c>
      <c r="AB5" s="97">
        <v>1.1683325224330792</v>
      </c>
      <c r="AC5" s="95">
        <f t="shared" si="3"/>
        <v>0.26610950010614237</v>
      </c>
      <c r="AD5" s="16"/>
      <c r="AE5" s="87">
        <f>+Y20+Y25</f>
        <v>0</v>
      </c>
      <c r="AF5" s="40"/>
      <c r="AG5" s="40"/>
      <c r="AH5" s="38"/>
      <c r="AI5" s="95">
        <v>-0.7469745303074585</v>
      </c>
      <c r="AJ5" s="96">
        <v>2</v>
      </c>
      <c r="AK5" s="95">
        <f t="shared" si="4"/>
        <v>0.26610950010614237</v>
      </c>
      <c r="AL5" s="16"/>
      <c r="AM5" s="87">
        <f>+AG21+AG26</f>
        <v>0</v>
      </c>
      <c r="AN5" s="2"/>
      <c r="AO5" s="2"/>
      <c r="AQ5" s="99">
        <v>-0.025</v>
      </c>
    </row>
    <row r="6" spans="1:43" ht="12.75">
      <c r="A6" s="114"/>
      <c r="B6" s="40"/>
      <c r="C6" s="38"/>
      <c r="D6" s="40"/>
      <c r="E6" s="95">
        <f>(E5*(STDEV(C102:C116)))/STDEV(J102:J116)</f>
        <v>1.0708478922842308</v>
      </c>
      <c r="F6" s="95">
        <f t="shared" si="0"/>
        <v>0.14110950010614237</v>
      </c>
      <c r="G6" s="16"/>
      <c r="H6" s="87">
        <f>+B21</f>
        <v>10.638467333333333</v>
      </c>
      <c r="I6" s="99">
        <v>-0.125</v>
      </c>
      <c r="J6" s="40"/>
      <c r="K6" s="40"/>
      <c r="L6" s="38"/>
      <c r="M6" s="40"/>
      <c r="N6" s="95" t="e">
        <f>(N5*(STDEV(L62:L116)))/STDEV(S62:S116)</f>
        <v>#DIV/0!</v>
      </c>
      <c r="O6" s="95">
        <f t="shared" si="1"/>
        <v>0.26610950010614237</v>
      </c>
      <c r="P6" s="16"/>
      <c r="Q6" s="87">
        <f>+K18</f>
        <v>0</v>
      </c>
      <c r="R6" s="40"/>
      <c r="S6" s="38"/>
      <c r="T6" s="40"/>
      <c r="U6" s="95" t="e">
        <f>(U5*(STDEV(S82:S116)))/STDEV(Z82:Z116)</f>
        <v>#DIV/0!</v>
      </c>
      <c r="V6" s="95">
        <f t="shared" si="2"/>
        <v>0.26610950010614237</v>
      </c>
      <c r="W6" s="16"/>
      <c r="X6" s="87">
        <f>+R19</f>
        <v>0</v>
      </c>
      <c r="Y6" s="40"/>
      <c r="Z6" s="38"/>
      <c r="AA6" s="40"/>
      <c r="AB6" s="95" t="e">
        <f>(AB5*(STDEV(Z92:Z116)))/STDEV(AG92:AG116)</f>
        <v>#DIV/0!</v>
      </c>
      <c r="AC6" s="95">
        <f t="shared" si="3"/>
        <v>0.26610950010614237</v>
      </c>
      <c r="AD6" s="16"/>
      <c r="AE6" s="87">
        <f>+Y20</f>
        <v>0</v>
      </c>
      <c r="AF6" s="40"/>
      <c r="AG6" s="40"/>
      <c r="AH6" s="38"/>
      <c r="AI6" s="40"/>
      <c r="AJ6" s="95" t="e">
        <f>(AJ5*(STDEV(AH102:AH116)))/STDEV(AO102:AO116)</f>
        <v>#DIV/0!</v>
      </c>
      <c r="AK6" s="95">
        <f t="shared" si="4"/>
        <v>0.26610950010614237</v>
      </c>
      <c r="AL6" s="16"/>
      <c r="AM6" s="87">
        <f>+AG21</f>
        <v>0</v>
      </c>
      <c r="AN6" s="2"/>
      <c r="AO6" s="2"/>
      <c r="AQ6" s="99">
        <v>-0.125</v>
      </c>
    </row>
    <row r="7" spans="1:43" ht="12.75">
      <c r="A7" s="114"/>
      <c r="B7" s="40"/>
      <c r="C7" s="38"/>
      <c r="D7" s="40"/>
      <c r="E7" s="38"/>
      <c r="F7" s="95">
        <f t="shared" si="0"/>
        <v>0.19110950010614236</v>
      </c>
      <c r="G7" s="16"/>
      <c r="H7" s="87">
        <f>+B21-B26</f>
        <v>3.620145369850418</v>
      </c>
      <c r="I7" s="99">
        <v>-0.075</v>
      </c>
      <c r="J7" s="40"/>
      <c r="K7" s="40"/>
      <c r="L7" s="38"/>
      <c r="M7" s="40"/>
      <c r="N7" s="38"/>
      <c r="O7" s="95">
        <f t="shared" si="1"/>
        <v>0.26610950010614237</v>
      </c>
      <c r="P7" s="16"/>
      <c r="Q7" s="87">
        <f>+K18-K23</f>
        <v>0</v>
      </c>
      <c r="R7" s="40"/>
      <c r="S7" s="38"/>
      <c r="T7" s="40"/>
      <c r="U7" s="38"/>
      <c r="V7" s="95">
        <f t="shared" si="2"/>
        <v>0.26610950010614237</v>
      </c>
      <c r="W7" s="16"/>
      <c r="X7" s="87">
        <f>+R19-R24</f>
        <v>0</v>
      </c>
      <c r="Y7" s="40"/>
      <c r="Z7" s="38"/>
      <c r="AA7" s="40"/>
      <c r="AB7" s="38"/>
      <c r="AC7" s="95">
        <f t="shared" si="3"/>
        <v>0.26610950010614237</v>
      </c>
      <c r="AD7" s="16"/>
      <c r="AE7" s="87">
        <f>+Y20-Y25</f>
        <v>0</v>
      </c>
      <c r="AF7" s="40"/>
      <c r="AG7" s="40"/>
      <c r="AH7" s="38"/>
      <c r="AI7" s="40"/>
      <c r="AJ7" s="38"/>
      <c r="AK7" s="95">
        <f t="shared" si="4"/>
        <v>0.26610950010614237</v>
      </c>
      <c r="AL7" s="16"/>
      <c r="AM7" s="87">
        <f>+AG21-AG26</f>
        <v>0</v>
      </c>
      <c r="AN7" s="2"/>
      <c r="AO7" s="2"/>
      <c r="AQ7" s="99">
        <v>-0.075</v>
      </c>
    </row>
    <row r="8" spans="1:43" ht="12.75">
      <c r="A8" s="114"/>
      <c r="B8" s="40"/>
      <c r="C8" s="38"/>
      <c r="D8" s="40"/>
      <c r="E8" s="38"/>
      <c r="F8" s="95">
        <f t="shared" si="0"/>
        <v>0.2911095001061424</v>
      </c>
      <c r="G8" s="16"/>
      <c r="H8" s="87">
        <f>+B21-2*B26</f>
        <v>-3.3981765936324972</v>
      </c>
      <c r="I8" s="99">
        <v>0.025</v>
      </c>
      <c r="J8" s="40"/>
      <c r="K8" s="40"/>
      <c r="L8" s="38"/>
      <c r="M8" s="40"/>
      <c r="N8" s="38"/>
      <c r="O8" s="95">
        <f t="shared" si="1"/>
        <v>0.26610950010614237</v>
      </c>
      <c r="P8" s="16"/>
      <c r="Q8" s="87">
        <f>+K18-2*K23</f>
        <v>0</v>
      </c>
      <c r="R8" s="40"/>
      <c r="S8" s="38"/>
      <c r="T8" s="40"/>
      <c r="U8" s="38"/>
      <c r="V8" s="95">
        <f t="shared" si="2"/>
        <v>0.26610950010614237</v>
      </c>
      <c r="W8" s="16"/>
      <c r="X8" s="87">
        <f>+R19-2*R24</f>
        <v>0</v>
      </c>
      <c r="Y8" s="40"/>
      <c r="Z8" s="38"/>
      <c r="AA8" s="40"/>
      <c r="AB8" s="38"/>
      <c r="AC8" s="95">
        <f t="shared" si="3"/>
        <v>0.26610950010614237</v>
      </c>
      <c r="AD8" s="16"/>
      <c r="AE8" s="87">
        <f>+Y20-2*Y25</f>
        <v>0</v>
      </c>
      <c r="AF8" s="40"/>
      <c r="AG8" s="40"/>
      <c r="AH8" s="38"/>
      <c r="AI8" s="40"/>
      <c r="AJ8" s="38"/>
      <c r="AK8" s="95">
        <f t="shared" si="4"/>
        <v>0.26610950010614237</v>
      </c>
      <c r="AL8" s="16"/>
      <c r="AM8" s="87">
        <f>+AG21-2*AG26</f>
        <v>0</v>
      </c>
      <c r="AN8" s="2"/>
      <c r="AO8" s="2"/>
      <c r="AQ8" s="99">
        <v>0.025</v>
      </c>
    </row>
    <row r="9" spans="1:43" ht="12.75">
      <c r="A9" s="114"/>
      <c r="B9" s="40"/>
      <c r="C9" s="38"/>
      <c r="D9" s="40"/>
      <c r="E9" s="38"/>
      <c r="F9" s="95">
        <f t="shared" si="0"/>
        <v>0.39110950010614237</v>
      </c>
      <c r="G9" s="16"/>
      <c r="H9" s="51"/>
      <c r="I9" s="99">
        <v>0.125</v>
      </c>
      <c r="J9" s="40"/>
      <c r="K9" s="40"/>
      <c r="L9" s="38"/>
      <c r="M9" s="40"/>
      <c r="N9" s="38"/>
      <c r="O9" s="95">
        <f t="shared" si="1"/>
        <v>0.26610950010614237</v>
      </c>
      <c r="P9" s="16"/>
      <c r="Q9" s="51"/>
      <c r="R9" s="40"/>
      <c r="S9" s="38"/>
      <c r="T9" s="40"/>
      <c r="U9" s="38"/>
      <c r="V9" s="95">
        <f t="shared" si="2"/>
        <v>0.26610950010614237</v>
      </c>
      <c r="W9" s="16"/>
      <c r="X9" s="51"/>
      <c r="Y9" s="40"/>
      <c r="Z9" s="38"/>
      <c r="AA9" s="40"/>
      <c r="AB9" s="38"/>
      <c r="AC9" s="95">
        <f t="shared" si="3"/>
        <v>0.26610950010614237</v>
      </c>
      <c r="AD9" s="16"/>
      <c r="AE9" s="51"/>
      <c r="AF9" s="40"/>
      <c r="AG9" s="40"/>
      <c r="AH9" s="38"/>
      <c r="AI9" s="40"/>
      <c r="AJ9" s="38"/>
      <c r="AK9" s="95">
        <f t="shared" si="4"/>
        <v>0.26610950010614237</v>
      </c>
      <c r="AL9" s="16"/>
      <c r="AM9" s="51"/>
      <c r="AN9" s="2"/>
      <c r="AO9" s="2"/>
      <c r="AQ9" s="99">
        <v>0.125</v>
      </c>
    </row>
    <row r="10" spans="3:41" ht="20.25" customHeight="1" thickBot="1">
      <c r="C10" s="33" t="s">
        <v>61</v>
      </c>
      <c r="D10" s="34"/>
      <c r="E10" s="35"/>
      <c r="F10" s="34"/>
      <c r="G10" s="34"/>
      <c r="H10" s="13"/>
      <c r="J10"/>
      <c r="Q10" s="88"/>
      <c r="X10" s="88"/>
      <c r="AE10" s="88"/>
      <c r="AJ10" s="2"/>
      <c r="AK10" s="2"/>
      <c r="AL10" s="2"/>
      <c r="AM10" s="13"/>
      <c r="AN10" s="2"/>
      <c r="AO10" s="2"/>
    </row>
    <row r="11" spans="1:39" ht="25.5">
      <c r="A11" s="7" t="s">
        <v>9</v>
      </c>
      <c r="B11" s="41" t="s">
        <v>60</v>
      </c>
      <c r="C11" s="42" t="str">
        <f>+C3</f>
        <v>Lag 1 Method</v>
      </c>
      <c r="D11" s="42" t="str">
        <f>+D3</f>
        <v>Lags 1&amp;2 Method</v>
      </c>
      <c r="E11" s="42" t="str">
        <f>+E3</f>
        <v>Equity Volatility</v>
      </c>
      <c r="F11" s="42" t="str">
        <f>+F3</f>
        <v>Market States</v>
      </c>
      <c r="G11" s="42" t="str">
        <f>+G3</f>
        <v>Time Varying</v>
      </c>
      <c r="I11"/>
      <c r="J11"/>
      <c r="X11" s="88"/>
      <c r="AE11" s="88"/>
      <c r="AM11" s="88"/>
    </row>
    <row r="12" spans="1:39" ht="18" customHeight="1">
      <c r="A12" s="104" t="s">
        <v>98</v>
      </c>
      <c r="B12" s="79"/>
      <c r="C12" s="80"/>
      <c r="D12" s="80"/>
      <c r="E12" s="80"/>
      <c r="F12" s="80"/>
      <c r="G12" s="80"/>
      <c r="H12" s="32"/>
      <c r="I12"/>
      <c r="J12"/>
      <c r="AE12" s="88"/>
      <c r="AM12" s="88"/>
    </row>
    <row r="13" spans="1:39" ht="12.75">
      <c r="A13" s="90" t="s">
        <v>10</v>
      </c>
      <c r="B13" s="43">
        <f>RATE(55,,-B124,B$179)*100</f>
        <v>10.617125958391933</v>
      </c>
      <c r="C13" s="43">
        <f>RATE(55,,-C124,C$179)*100</f>
        <v>10.338915610797361</v>
      </c>
      <c r="D13" s="43">
        <f>RATE(55,,-D124,D$179)*100</f>
        <v>10.606940000624496</v>
      </c>
      <c r="E13" s="43">
        <f>RATE(55,,-E124,E$179)*100</f>
        <v>9.69825279308859</v>
      </c>
      <c r="F13" s="43">
        <f>RATE(55,,-F124,F$179)*100</f>
        <v>9.814403413530105</v>
      </c>
      <c r="G13" s="43" t="s">
        <v>21</v>
      </c>
      <c r="I13"/>
      <c r="J13"/>
      <c r="AE13" s="88"/>
      <c r="AM13" s="88"/>
    </row>
    <row r="14" spans="1:39" ht="12.75">
      <c r="A14" s="90" t="s">
        <v>11</v>
      </c>
      <c r="B14" s="43">
        <f>RATE(35,,-B144,B$179)*100</f>
        <v>12.448423962175266</v>
      </c>
      <c r="C14" s="43">
        <f>IF(ISERROR(RATE(35,,-C144,C$179)*100),"..",RATE(35,,-C144,C$179)*100)</f>
        <v>11.990829494031882</v>
      </c>
      <c r="D14" s="43">
        <f>IF(ISERROR(RATE(35,,-D144,D$179)*100),"..",RATE(35,,-D144,D$179)*100)</f>
        <v>12.589770128479053</v>
      </c>
      <c r="E14" s="43">
        <f>IF(ISERROR(RATE(35,,-E144,E$179)*100),"..",RATE(35,,-E144,E$179)*100)</f>
        <v>11.2536688810637</v>
      </c>
      <c r="F14" s="43">
        <f>IF(ISERROR(RATE(35,,-F144,F$179)*100),"..",RATE(35,,-F144,F$179)*100)</f>
        <v>11.275027885066308</v>
      </c>
      <c r="G14" s="43">
        <f>IF(ISERROR(RATE(35,,-G144,G$179)*100),"..",RATE(35,,-G144,G$179)*100)</f>
        <v>10.754122219350586</v>
      </c>
      <c r="I14"/>
      <c r="J14"/>
      <c r="AE14" s="88"/>
      <c r="AM14" s="88"/>
    </row>
    <row r="15" spans="1:39" ht="12.75">
      <c r="A15" s="91" t="s">
        <v>12</v>
      </c>
      <c r="B15" s="43">
        <f>RATE(25,,-B154,B$179)*100</f>
        <v>10.919884703948652</v>
      </c>
      <c r="C15" s="43">
        <f>IF(ISERROR(RATE(25,,-C154,C$179)*100),"..",RATE(25,,-C154,C$179)*100)</f>
        <v>10.75934090831305</v>
      </c>
      <c r="D15" s="43">
        <f>IF(ISERROR(RATE(25,,-D154,D$179)*100),"..",RATE(25,,-D154,D$179)*100)</f>
        <v>11.167750873653064</v>
      </c>
      <c r="E15" s="43">
        <f>IF(ISERROR(RATE(25,,-E154,E$179)*100),"..",RATE(25,,-E154,E$179)*100)</f>
        <v>10.076428882280727</v>
      </c>
      <c r="F15" s="43">
        <f>IF(ISERROR(RATE(25,,-F154,F$179)*100),"..",RATE(25,,-F154,F$179)*100)</f>
        <v>10.59383037880377</v>
      </c>
      <c r="G15" s="43">
        <f>IF(ISERROR(RATE(25,,-G154,G$179)*100),"..",RATE(25,,-G154,G$179)*100)</f>
        <v>11.205099541031945</v>
      </c>
      <c r="I15"/>
      <c r="J15"/>
      <c r="AE15" s="88"/>
      <c r="AM15" s="88"/>
    </row>
    <row r="16" spans="1:39" ht="12.75">
      <c r="A16" s="91" t="s">
        <v>13</v>
      </c>
      <c r="B16" s="43">
        <f>RATE(15,,-B164,B$179)*100</f>
        <v>10.42509452859142</v>
      </c>
      <c r="C16" s="43">
        <f>IF(ISERROR(RATE(15,,-C164,C$179)*100),"..",RATE(15,,-C164,C$179)*100)</f>
        <v>11.003950427042282</v>
      </c>
      <c r="D16" s="43">
        <f>IF(ISERROR(RATE(15,,-D164,D$179)*100),"..",RATE(15,,-D164,D$179)*100)</f>
        <v>9.721938429159488</v>
      </c>
      <c r="E16" s="43">
        <f>IF(ISERROR(RATE(15,,-E164,E$179)*100),"..",RATE(15,,-E164,E$179)*100)</f>
        <v>10.292727653374744</v>
      </c>
      <c r="F16" s="43">
        <f>IF(ISERROR(RATE(15,,-F164,F$179)*100),"..",RATE(15,,-F164,F$179)*100)</f>
        <v>10.951840686013593</v>
      </c>
      <c r="G16" s="43">
        <f>IF(ISERROR(RATE(15,,-G164,G$179)*100),"..",RATE(15,,-G164,G$179)*100)</f>
        <v>11.269641666153717</v>
      </c>
      <c r="I16"/>
      <c r="J16"/>
      <c r="AE16" s="88"/>
      <c r="AM16" s="88"/>
    </row>
    <row r="17" spans="1:39" ht="18" customHeight="1">
      <c r="A17" s="93" t="s">
        <v>109</v>
      </c>
      <c r="B17" s="81"/>
      <c r="C17" s="81"/>
      <c r="D17" s="81"/>
      <c r="E17" s="81"/>
      <c r="F17" s="81"/>
      <c r="G17" s="81"/>
      <c r="I17"/>
      <c r="J17"/>
      <c r="AE17" s="88"/>
      <c r="AM17" s="88"/>
    </row>
    <row r="18" spans="1:39" ht="12.75">
      <c r="A18" s="90" t="s">
        <v>10</v>
      </c>
      <c r="B18" s="43">
        <f>AVERAGE(B$62:B$116)</f>
        <v>11.01161836363636</v>
      </c>
      <c r="C18" s="43">
        <f>AVERAGE(C$62:C$116)</f>
        <v>11.043263550255901</v>
      </c>
      <c r="D18" s="43">
        <f>AVERAGE(D$62:D$116)</f>
        <v>10.823160743648028</v>
      </c>
      <c r="E18" s="43">
        <f>AVERAGE(E$62:E$116)</f>
        <v>10.312635090217585</v>
      </c>
      <c r="F18" s="43">
        <f>AVERAGE(F$62:F$116)</f>
        <v>10.751616723768755</v>
      </c>
      <c r="G18" s="43" t="s">
        <v>21</v>
      </c>
      <c r="I18"/>
      <c r="J18"/>
      <c r="AE18" s="88"/>
      <c r="AM18" s="88"/>
    </row>
    <row r="19" spans="1:39" ht="12.75">
      <c r="A19" s="90" t="s">
        <v>11</v>
      </c>
      <c r="B19" s="43">
        <f aca="true" t="shared" si="5" ref="B19:G19">AVERAGE(B$82:B$116)</f>
        <v>12.929686</v>
      </c>
      <c r="C19" s="43">
        <f t="shared" si="5"/>
        <v>12.872705827664232</v>
      </c>
      <c r="D19" s="43">
        <f t="shared" si="5"/>
        <v>12.821172059000832</v>
      </c>
      <c r="E19" s="43">
        <f t="shared" si="5"/>
        <v>12.021040448803051</v>
      </c>
      <c r="F19" s="43">
        <f t="shared" si="5"/>
        <v>12.540102319341285</v>
      </c>
      <c r="G19" s="43">
        <f t="shared" si="5"/>
        <v>12.253179454485988</v>
      </c>
      <c r="I19"/>
      <c r="J19"/>
      <c r="AE19" s="88"/>
      <c r="AM19" s="88"/>
    </row>
    <row r="20" spans="1:39" ht="12.75">
      <c r="A20" s="91" t="s">
        <v>12</v>
      </c>
      <c r="B20" s="43">
        <f aca="true" t="shared" si="6" ref="B20:G20">AVERAGE(B$92:B$116)</f>
        <v>11.232456000000003</v>
      </c>
      <c r="C20" s="43">
        <f t="shared" si="6"/>
        <v>11.255506986837402</v>
      </c>
      <c r="D20" s="43">
        <f t="shared" si="6"/>
        <v>11.29639721858581</v>
      </c>
      <c r="E20" s="43">
        <f t="shared" si="6"/>
        <v>10.51083638296026</v>
      </c>
      <c r="F20" s="43">
        <f t="shared" si="6"/>
        <v>11.199357946806442</v>
      </c>
      <c r="G20" s="43">
        <f t="shared" si="6"/>
        <v>11.688284122927325</v>
      </c>
      <c r="I20"/>
      <c r="J20"/>
      <c r="AE20" s="88"/>
      <c r="AM20" s="88"/>
    </row>
    <row r="21" spans="1:39" ht="12.75">
      <c r="A21" s="91" t="s">
        <v>13</v>
      </c>
      <c r="B21" s="43">
        <f aca="true" t="shared" si="7" ref="B21:G21">AVERAGE(B$102:B$116)</f>
        <v>10.638467333333333</v>
      </c>
      <c r="C21" s="43">
        <f t="shared" si="7"/>
        <v>11.30450753176302</v>
      </c>
      <c r="D21" s="43">
        <f t="shared" si="7"/>
        <v>9.834174576276338</v>
      </c>
      <c r="E21" s="43">
        <f t="shared" si="7"/>
        <v>10.556595024573772</v>
      </c>
      <c r="F21" s="43">
        <f t="shared" si="7"/>
        <v>11.2302843803868</v>
      </c>
      <c r="G21" s="43">
        <f t="shared" si="7"/>
        <v>11.710994302060584</v>
      </c>
      <c r="I21"/>
      <c r="J21"/>
      <c r="AE21" s="88"/>
      <c r="AM21" s="88"/>
    </row>
    <row r="22" spans="1:39" ht="18" customHeight="1">
      <c r="A22" s="93" t="s">
        <v>8</v>
      </c>
      <c r="B22" s="81"/>
      <c r="C22" s="81"/>
      <c r="D22" s="81"/>
      <c r="E22" s="81"/>
      <c r="F22" s="81"/>
      <c r="G22" s="81"/>
      <c r="I22"/>
      <c r="J22"/>
      <c r="AE22" s="88"/>
      <c r="AM22" s="88"/>
    </row>
    <row r="23" spans="1:39" ht="12.75">
      <c r="A23" s="90" t="s">
        <v>10</v>
      </c>
      <c r="B23" s="43">
        <f>STDEV(B$62:B$116)</f>
        <v>9.377463285806426</v>
      </c>
      <c r="C23" s="43">
        <f>STDEV(C$62:C$116)</f>
        <v>12.19102775808497</v>
      </c>
      <c r="D23" s="43">
        <f>STDEV(D$62:D$116)</f>
        <v>7.0298631220183685</v>
      </c>
      <c r="E23" s="43">
        <f>STDEV(E$62:E$116)</f>
        <v>11.384462579536134</v>
      </c>
      <c r="F23" s="43">
        <f>STDEV(F$62:F$116)</f>
        <v>13.470054006669741</v>
      </c>
      <c r="G23" s="43" t="s">
        <v>21</v>
      </c>
      <c r="I23" s="158"/>
      <c r="J23"/>
      <c r="AE23" s="88"/>
      <c r="AM23" s="88"/>
    </row>
    <row r="24" spans="1:39" ht="12.75">
      <c r="A24" s="90" t="s">
        <v>11</v>
      </c>
      <c r="B24" s="43">
        <f aca="true" t="shared" si="8" ref="B24:G24">STDEV(B$82:B$116)</f>
        <v>10.329478798904566</v>
      </c>
      <c r="C24" s="43">
        <f t="shared" si="8"/>
        <v>13.487579680091558</v>
      </c>
      <c r="D24" s="43">
        <f t="shared" si="8"/>
        <v>7.2862368501401065</v>
      </c>
      <c r="E24" s="43">
        <f t="shared" si="8"/>
        <v>12.59523390508911</v>
      </c>
      <c r="F24" s="43">
        <f t="shared" si="8"/>
        <v>15.394776994539496</v>
      </c>
      <c r="G24" s="43">
        <f t="shared" si="8"/>
        <v>15.761728466307437</v>
      </c>
      <c r="I24" s="158"/>
      <c r="J24"/>
      <c r="AE24" s="88"/>
      <c r="AM24" s="88"/>
    </row>
    <row r="25" spans="1:39" ht="12.75">
      <c r="A25" s="91" t="s">
        <v>12</v>
      </c>
      <c r="B25" s="43">
        <f aca="true" t="shared" si="9" ref="B25:G25">STDEV(B$92:B$116)</f>
        <v>8.445246732353354</v>
      </c>
      <c r="C25" s="43">
        <f t="shared" si="9"/>
        <v>10.569539353159636</v>
      </c>
      <c r="D25" s="43">
        <f t="shared" si="9"/>
        <v>5.4023425333418755</v>
      </c>
      <c r="E25" s="43">
        <f t="shared" si="9"/>
        <v>9.870252749541955</v>
      </c>
      <c r="F25" s="43">
        <f t="shared" si="9"/>
        <v>11.434928006793331</v>
      </c>
      <c r="G25" s="43">
        <f t="shared" si="9"/>
        <v>10.540874204378223</v>
      </c>
      <c r="I25" s="158"/>
      <c r="J25"/>
      <c r="AE25" s="88"/>
      <c r="AM25" s="88"/>
    </row>
    <row r="26" spans="1:39" ht="12.75">
      <c r="A26" s="91" t="s">
        <v>13</v>
      </c>
      <c r="B26" s="43">
        <f aca="true" t="shared" si="10" ref="B26:G26">STDEV(B$102:B$116)</f>
        <v>7.018321963482915</v>
      </c>
      <c r="C26" s="43">
        <f t="shared" si="10"/>
        <v>8.484109894385009</v>
      </c>
      <c r="D26" s="43">
        <f t="shared" si="10"/>
        <v>5.010615860214954</v>
      </c>
      <c r="E26" s="43">
        <f t="shared" si="10"/>
        <v>7.92279646391936</v>
      </c>
      <c r="F26" s="43">
        <f t="shared" si="10"/>
        <v>8.144570762807197</v>
      </c>
      <c r="G26" s="43">
        <f t="shared" si="10"/>
        <v>10.300599173759153</v>
      </c>
      <c r="I26" s="158"/>
      <c r="J26"/>
      <c r="AE26" s="88"/>
      <c r="AM26" s="88"/>
    </row>
    <row r="27" spans="1:39" ht="18" customHeight="1">
      <c r="A27" s="92" t="s">
        <v>83</v>
      </c>
      <c r="B27" s="81"/>
      <c r="C27" s="81"/>
      <c r="D27" s="81"/>
      <c r="E27" s="81"/>
      <c r="F27" s="81"/>
      <c r="G27" s="81"/>
      <c r="I27"/>
      <c r="J27"/>
      <c r="AE27" s="88"/>
      <c r="AM27" s="88"/>
    </row>
    <row r="28" spans="1:39" ht="12.75">
      <c r="A28" s="90" t="s">
        <v>10</v>
      </c>
      <c r="B28" s="44">
        <f aca="true" t="shared" si="11" ref="B28:F29">+B23/$B23</f>
        <v>1</v>
      </c>
      <c r="C28" s="44">
        <f t="shared" si="11"/>
        <v>1.3000347094439826</v>
      </c>
      <c r="D28" s="44">
        <f t="shared" si="11"/>
        <v>0.7496550941083026</v>
      </c>
      <c r="E28" s="44">
        <f t="shared" si="11"/>
        <v>1.2140236898359782</v>
      </c>
      <c r="F28" s="44">
        <f t="shared" si="11"/>
        <v>1.4364283384673757</v>
      </c>
      <c r="G28" s="43" t="s">
        <v>21</v>
      </c>
      <c r="I28"/>
      <c r="J28"/>
      <c r="AE28" s="88"/>
      <c r="AM28" s="88"/>
    </row>
    <row r="29" spans="1:39" ht="12.75">
      <c r="A29" s="90" t="s">
        <v>11</v>
      </c>
      <c r="B29" s="44">
        <f t="shared" si="11"/>
        <v>1</v>
      </c>
      <c r="C29" s="44">
        <f t="shared" si="11"/>
        <v>1.3057367116646685</v>
      </c>
      <c r="D29" s="44">
        <f t="shared" si="11"/>
        <v>0.7053828166928235</v>
      </c>
      <c r="E29" s="44">
        <f t="shared" si="11"/>
        <v>1.2193484444176241</v>
      </c>
      <c r="F29" s="44">
        <f t="shared" si="11"/>
        <v>1.4903730666616115</v>
      </c>
      <c r="G29" s="44">
        <f>+G24/$B24</f>
        <v>1.5258977508118763</v>
      </c>
      <c r="I29"/>
      <c r="J29"/>
      <c r="AE29" s="88"/>
      <c r="AM29" s="88"/>
    </row>
    <row r="30" spans="1:39" ht="12.75">
      <c r="A30" s="91" t="s">
        <v>12</v>
      </c>
      <c r="B30" s="44">
        <f aca="true" t="shared" si="12" ref="B30:G30">+B25/$B25</f>
        <v>1</v>
      </c>
      <c r="C30" s="44">
        <f t="shared" si="12"/>
        <v>1.2515370702750712</v>
      </c>
      <c r="D30" s="44">
        <f t="shared" si="12"/>
        <v>0.639690313918923</v>
      </c>
      <c r="E30" s="44">
        <f t="shared" si="12"/>
        <v>1.1687346814545356</v>
      </c>
      <c r="F30" s="44">
        <f t="shared" si="12"/>
        <v>1.3540075700792311</v>
      </c>
      <c r="G30" s="44">
        <f t="shared" si="12"/>
        <v>1.2481428356612265</v>
      </c>
      <c r="I30"/>
      <c r="J30"/>
      <c r="AE30" s="88"/>
      <c r="AM30" s="88"/>
    </row>
    <row r="31" spans="1:39" ht="12.75">
      <c r="A31" s="91" t="s">
        <v>13</v>
      </c>
      <c r="B31" s="44">
        <f aca="true" t="shared" si="13" ref="B31:G31">+B26/$B26</f>
        <v>1</v>
      </c>
      <c r="C31" s="44">
        <f t="shared" si="13"/>
        <v>1.20885162272816</v>
      </c>
      <c r="D31" s="44">
        <f t="shared" si="13"/>
        <v>0.7139335992685614</v>
      </c>
      <c r="E31" s="44">
        <f t="shared" si="13"/>
        <v>1.1288733268639601</v>
      </c>
      <c r="F31" s="44">
        <f t="shared" si="13"/>
        <v>1.1604726607277744</v>
      </c>
      <c r="G31" s="44">
        <f t="shared" si="13"/>
        <v>1.4676726470165204</v>
      </c>
      <c r="I31"/>
      <c r="J31"/>
      <c r="AE31" s="88"/>
      <c r="AM31" s="88"/>
    </row>
    <row r="32" spans="1:39" ht="18" customHeight="1">
      <c r="A32" s="93" t="s">
        <v>17</v>
      </c>
      <c r="B32" s="81"/>
      <c r="C32" s="81"/>
      <c r="D32" s="81"/>
      <c r="E32" s="81"/>
      <c r="F32" s="81"/>
      <c r="G32" s="81"/>
      <c r="I32"/>
      <c r="J32"/>
      <c r="AE32" s="88"/>
      <c r="AM32" s="88"/>
    </row>
    <row r="33" spans="1:39" ht="12.75">
      <c r="A33" s="90" t="s">
        <v>10</v>
      </c>
      <c r="B33" s="44">
        <f>CORREL(B63:B116,B62:B115)</f>
        <v>0.3126270420658575</v>
      </c>
      <c r="C33" s="44">
        <f>CORREL(C63:C116,C62:C115)</f>
        <v>0.07004282741928212</v>
      </c>
      <c r="D33" s="44">
        <f>CORREL(D63:D116,D62:D115)</f>
        <v>0.24841655240902766</v>
      </c>
      <c r="E33" s="44">
        <f>CORREL(E63:E116,E62:E115)</f>
        <v>0.07004282741928207</v>
      </c>
      <c r="F33" s="44">
        <f>CORREL(F63:F116,F62:F115)</f>
        <v>0.09874585348447268</v>
      </c>
      <c r="G33" s="43" t="s">
        <v>21</v>
      </c>
      <c r="I33"/>
      <c r="J33"/>
      <c r="AE33" s="88"/>
      <c r="AM33" s="88"/>
    </row>
    <row r="34" spans="1:39" ht="12.75">
      <c r="A34" s="90" t="s">
        <v>11</v>
      </c>
      <c r="B34" s="44">
        <f aca="true" t="shared" si="14" ref="B34:G34">CORREL(B83:B116,B82:B115)</f>
        <v>0.28170029843189454</v>
      </c>
      <c r="C34" s="44">
        <f t="shared" si="14"/>
        <v>0.06683893787243048</v>
      </c>
      <c r="D34" s="44">
        <f t="shared" si="14"/>
        <v>0.14457294214192257</v>
      </c>
      <c r="E34" s="44">
        <f t="shared" si="14"/>
        <v>0.06683893787243043</v>
      </c>
      <c r="F34" s="44">
        <f t="shared" si="14"/>
        <v>0.08487731365813381</v>
      </c>
      <c r="G34" s="44">
        <f t="shared" si="14"/>
        <v>0.021056872243825103</v>
      </c>
      <c r="I34"/>
      <c r="J34"/>
      <c r="AE34" s="88"/>
      <c r="AM34" s="88"/>
    </row>
    <row r="35" spans="1:39" ht="12.75">
      <c r="A35" s="91" t="s">
        <v>12</v>
      </c>
      <c r="B35" s="44">
        <f aca="true" t="shared" si="15" ref="B35:G35">CORREL(B93:B116,B92:B115)</f>
        <v>0.42030109576011215</v>
      </c>
      <c r="C35" s="44">
        <f t="shared" si="15"/>
        <v>0.2986162726412403</v>
      </c>
      <c r="D35" s="44">
        <f t="shared" si="15"/>
        <v>0.3962102813920464</v>
      </c>
      <c r="E35" s="44">
        <f t="shared" si="15"/>
        <v>0.2986162726412405</v>
      </c>
      <c r="F35" s="44">
        <f t="shared" si="15"/>
        <v>0.2919140913564197</v>
      </c>
      <c r="G35" s="44">
        <f t="shared" si="15"/>
        <v>0.19495779038493438</v>
      </c>
      <c r="I35"/>
      <c r="J35"/>
      <c r="AE35" s="88"/>
      <c r="AM35" s="88"/>
    </row>
    <row r="36" spans="1:39" ht="12.75">
      <c r="A36" s="91" t="s">
        <v>13</v>
      </c>
      <c r="B36" s="44">
        <f aca="true" t="shared" si="16" ref="B36:G36">CORREL(B103:B116,B102:B115)</f>
        <v>0.26610950010614237</v>
      </c>
      <c r="C36" s="44">
        <f t="shared" si="16"/>
        <v>0.002797310967241277</v>
      </c>
      <c r="D36" s="44">
        <f t="shared" si="16"/>
        <v>0.22933661803367947</v>
      </c>
      <c r="E36" s="44">
        <f t="shared" si="16"/>
        <v>0.002797310967241223</v>
      </c>
      <c r="F36" s="44">
        <f t="shared" si="16"/>
        <v>0.042372750872070125</v>
      </c>
      <c r="G36" s="44">
        <f t="shared" si="16"/>
        <v>-0.06829636761137721</v>
      </c>
      <c r="I36"/>
      <c r="J36"/>
      <c r="AE36" s="88"/>
      <c r="AM36" s="88"/>
    </row>
    <row r="37" spans="1:39" ht="18" customHeight="1">
      <c r="A37" s="93" t="s">
        <v>63</v>
      </c>
      <c r="B37" s="82"/>
      <c r="C37" s="82"/>
      <c r="D37" s="82"/>
      <c r="E37" s="82"/>
      <c r="F37" s="82"/>
      <c r="G37" s="82"/>
      <c r="I37"/>
      <c r="J37"/>
      <c r="AE37" s="88"/>
      <c r="AM37" s="88"/>
    </row>
    <row r="38" spans="1:10" ht="12.75">
      <c r="A38" s="90" t="s">
        <v>10</v>
      </c>
      <c r="B38" s="44">
        <f>IF(B33&gt;0,TDIST(B33/SQRT((1-B33^2)/52),52,2),TDIST(-B33/SQRT((1-B33^2)/52),52,2))</f>
        <v>0.02135790222280396</v>
      </c>
      <c r="C38" s="44">
        <f>IF(C33&gt;0,TDIST(C33/SQRT((1-C33^2)/52),52,2),TDIST(-C33/SQRT((1-C33^2)/52),52,2))</f>
        <v>0.614765421192478</v>
      </c>
      <c r="D38" s="44">
        <f>IF(D33&gt;0,TDIST(D33/SQRT((1-D33^2)/52),52,2),TDIST(-D33/SQRT((1-D33^2)/52),52,2))</f>
        <v>0.070098105839406</v>
      </c>
      <c r="E38" s="44">
        <f>IF(E33&gt;0,TDIST(E33/SQRT((1-E33^2)/52),52,2),TDIST(-E33/SQRT((1-E33^2)/52),52,2))</f>
        <v>0.614765421192478</v>
      </c>
      <c r="F38" s="44">
        <f>IF(F33&gt;0,TDIST(F33/SQRT((1-F33^2)/52),52,2),TDIST(-F33/SQRT((1-F33^2)/52),52,2))</f>
        <v>0.477461718412846</v>
      </c>
      <c r="G38" s="43" t="s">
        <v>21</v>
      </c>
      <c r="I38"/>
      <c r="J38"/>
    </row>
    <row r="39" spans="1:10" ht="12.75">
      <c r="A39" s="90" t="s">
        <v>11</v>
      </c>
      <c r="B39" s="44">
        <f aca="true" t="shared" si="17" ref="B39:G39">IF(B34&gt;0,TDIST(B34/SQRT((1-B34^2)/32),32,2),TDIST(-B34/SQRT((1-B34^2)/32),32,2))</f>
        <v>0.1065232109058406</v>
      </c>
      <c r="C39" s="44">
        <f t="shared" si="17"/>
        <v>0.7072311327935636</v>
      </c>
      <c r="D39" s="44">
        <f t="shared" si="17"/>
        <v>0.41463457829849715</v>
      </c>
      <c r="E39" s="44">
        <f t="shared" si="17"/>
        <v>0.7072311327935636</v>
      </c>
      <c r="F39" s="44">
        <f t="shared" si="17"/>
        <v>0.6331724374509937</v>
      </c>
      <c r="G39" s="44">
        <f t="shared" si="17"/>
        <v>0.905907620568398</v>
      </c>
      <c r="I39"/>
      <c r="J39"/>
    </row>
    <row r="40" spans="1:10" ht="12.75">
      <c r="A40" s="91" t="s">
        <v>12</v>
      </c>
      <c r="B40" s="44">
        <f aca="true" t="shared" si="18" ref="B40:G40">IF(B35&gt;0,TDIST(B35/SQRT((1-B35^2)/22),22,2),TDIST(-B35/SQRT((1-B35^2)/22),22,2))</f>
        <v>0.04085985766734554</v>
      </c>
      <c r="C40" s="44">
        <f t="shared" si="18"/>
        <v>0.15636591857390458</v>
      </c>
      <c r="D40" s="44">
        <f t="shared" si="18"/>
        <v>0.05527702806549797</v>
      </c>
      <c r="E40" s="44">
        <f t="shared" si="18"/>
        <v>0.15636591857390225</v>
      </c>
      <c r="F40" s="44">
        <f t="shared" si="18"/>
        <v>0.16632664739904757</v>
      </c>
      <c r="G40" s="44">
        <f t="shared" si="18"/>
        <v>0.3612894402334005</v>
      </c>
      <c r="I40"/>
      <c r="J40"/>
    </row>
    <row r="41" spans="1:10" ht="12.75">
      <c r="A41" s="91" t="s">
        <v>13</v>
      </c>
      <c r="B41" s="44">
        <f aca="true" t="shared" si="19" ref="B41:G41">IF(B36&gt;0,TDIST(B36/SQRT((1-B36^2)/12),12,2),TDIST(-B36/SQRT((1-B36^2)/12),12,2))</f>
        <v>0.3577843752221176</v>
      </c>
      <c r="C41" s="44">
        <f t="shared" si="19"/>
        <v>0.99242769055153</v>
      </c>
      <c r="D41" s="44">
        <f t="shared" si="19"/>
        <v>0.4302907782559623</v>
      </c>
      <c r="E41" s="44">
        <f t="shared" si="19"/>
        <v>0.99242769055153</v>
      </c>
      <c r="F41" s="44">
        <f t="shared" si="19"/>
        <v>0.8856381439093979</v>
      </c>
      <c r="G41" s="44">
        <f t="shared" si="19"/>
        <v>0.8165488389937249</v>
      </c>
      <c r="I41"/>
      <c r="J41"/>
    </row>
    <row r="42" spans="1:10" ht="18" customHeight="1">
      <c r="A42" s="93" t="s">
        <v>18</v>
      </c>
      <c r="B42" s="81"/>
      <c r="C42" s="45"/>
      <c r="D42" s="45"/>
      <c r="E42" s="45"/>
      <c r="F42" s="45"/>
      <c r="G42" s="45"/>
      <c r="I42"/>
      <c r="J42"/>
    </row>
    <row r="43" spans="1:10" ht="12.75">
      <c r="A43" s="90" t="s">
        <v>10</v>
      </c>
      <c r="B43" s="44">
        <f>CORREL(B64:B$116,B62:B$114)</f>
        <v>0.020923903493454157</v>
      </c>
      <c r="C43" s="44">
        <f>CORREL(C64:C$116,C62:C$114)</f>
        <v>-0.004465146418426975</v>
      </c>
      <c r="D43" s="44">
        <f>CORREL(D64:D$116,D62:D$114)</f>
        <v>0.44110432240641134</v>
      </c>
      <c r="E43" s="44">
        <f>CORREL(E64:E$116,E62:E$114)</f>
        <v>-0.0044651464184270176</v>
      </c>
      <c r="F43" s="44">
        <f>CORREL(F64:F$116,F62:F$114)</f>
        <v>-0.056227849582535724</v>
      </c>
      <c r="G43" s="43" t="s">
        <v>21</v>
      </c>
      <c r="I43"/>
      <c r="J43"/>
    </row>
    <row r="44" spans="1:10" ht="12.75">
      <c r="A44" s="90" t="s">
        <v>11</v>
      </c>
      <c r="B44" s="44">
        <f>CORREL(B84:B$116,B82:B$114)</f>
        <v>-0.155707052440018</v>
      </c>
      <c r="C44" s="44">
        <f>CORREL(C84:C$116,C82:C$114)</f>
        <v>-0.15763748737333252</v>
      </c>
      <c r="D44" s="44">
        <f>CORREL(D84:D$116,D82:D$114)</f>
        <v>0.23799292063850463</v>
      </c>
      <c r="E44" s="44">
        <f>CORREL(E84:E$116,E82:E$114)</f>
        <v>-0.15763748737333255</v>
      </c>
      <c r="F44" s="44">
        <f>CORREL(F84:F$116,F82:F$114)</f>
        <v>-0.18939970310936458</v>
      </c>
      <c r="G44" s="44">
        <f>CORREL(G84:G$116,G82:G$114)</f>
        <v>-0.21927491498138177</v>
      </c>
      <c r="I44"/>
      <c r="J44"/>
    </row>
    <row r="45" spans="1:10" ht="12.75">
      <c r="A45" s="91" t="s">
        <v>12</v>
      </c>
      <c r="B45" s="44">
        <f>CORREL(B94:B$116,B92:B$114)</f>
        <v>-0.2451919378438893</v>
      </c>
      <c r="C45" s="44">
        <f>CORREL(C94:C$116,C92:C$114)</f>
        <v>-0.2661330896729843</v>
      </c>
      <c r="D45" s="44">
        <f>CORREL(D94:D$116,D92:D$114)</f>
        <v>0.13206528151906924</v>
      </c>
      <c r="E45" s="44">
        <f>CORREL(E94:E$116,E92:E$114)</f>
        <v>-0.26613308967298427</v>
      </c>
      <c r="F45" s="44">
        <f>CORREL(F94:F$116,F92:F$114)</f>
        <v>-0.2451399181904813</v>
      </c>
      <c r="G45" s="44">
        <f>CORREL(G94:G$116,G92:G$114)</f>
        <v>-0.33599485354303493</v>
      </c>
      <c r="I45"/>
      <c r="J45"/>
    </row>
    <row r="46" spans="1:10" ht="12.75">
      <c r="A46" s="91" t="s">
        <v>13</v>
      </c>
      <c r="B46" s="44">
        <f>CORREL(B104:B$116,B102:B$114)</f>
        <v>-0.565460408737947</v>
      </c>
      <c r="C46" s="44">
        <f>CORREL(C104:C$116,C102:C$114)</f>
        <v>-0.5624183784842651</v>
      </c>
      <c r="D46" s="44">
        <f>CORREL(D104:D$116,D102:D$114)</f>
        <v>0.4999047742857838</v>
      </c>
      <c r="E46" s="44">
        <f>CORREL(E104:E$116,E102:E$114)</f>
        <v>-0.5624183784842649</v>
      </c>
      <c r="F46" s="44">
        <f>CORREL(F104:F$116,F102:F$114)</f>
        <v>-0.6151383384178168</v>
      </c>
      <c r="G46" s="44">
        <f>CORREL(G104:G$116,G102:G$114)</f>
        <v>-0.5690893126990553</v>
      </c>
      <c r="I46"/>
      <c r="J46"/>
    </row>
    <row r="47" spans="1:10" ht="18" customHeight="1">
      <c r="A47" s="93" t="s">
        <v>64</v>
      </c>
      <c r="B47" s="82"/>
      <c r="C47" s="82"/>
      <c r="D47" s="82"/>
      <c r="E47" s="82"/>
      <c r="F47" s="82"/>
      <c r="G47" s="82"/>
      <c r="I47"/>
      <c r="J47"/>
    </row>
    <row r="48" spans="1:10" ht="12.75">
      <c r="A48" s="90" t="s">
        <v>10</v>
      </c>
      <c r="B48" s="44">
        <f>IF(B43&gt;0,TDIST(B43/SQRT((1-B43^2)/51),51,2),TDIST(-B43/SQRT((1-B43^2)/51),51,2))</f>
        <v>0.8817807175042958</v>
      </c>
      <c r="C48" s="44">
        <f>IF(C43&gt;0,TDIST(C43/SQRT((1-C43^2)/52),52,2),TDIST(-C43/SQRT((1-C43^2)/52),52,2))</f>
        <v>0.9744366680066261</v>
      </c>
      <c r="D48" s="44">
        <f>IF(D43&gt;0,TDIST(D43/SQRT((1-D43^2)/52),52,2),TDIST(-D43/SQRT((1-D43^2)/52),52,2))</f>
        <v>0.0008420464965134214</v>
      </c>
      <c r="E48" s="44">
        <f>IF(E43&gt;0,TDIST(E43/SQRT((1-E43^2)/52),52,2),TDIST(-E43/SQRT((1-E43^2)/52),52,2))</f>
        <v>0.9744366680066261</v>
      </c>
      <c r="F48" s="44">
        <f>IF(F43&gt;0,TDIST(F43/SQRT((1-F43^2)/52),52,2),TDIST(-F43/SQRT((1-F43^2)/52),52,2))</f>
        <v>0.6863302024234958</v>
      </c>
      <c r="G48" s="43" t="s">
        <v>21</v>
      </c>
      <c r="I48"/>
      <c r="J48"/>
    </row>
    <row r="49" spans="1:10" ht="12.75">
      <c r="A49" s="90" t="s">
        <v>11</v>
      </c>
      <c r="B49" s="44">
        <f aca="true" t="shared" si="20" ref="B49:G49">IF(B44&gt;0,TDIST(B44/SQRT((1-B44^2)/32),32,2),TDIST(-B44/SQRT((1-B44^2)/32),32,2))</f>
        <v>0.37921647837558137</v>
      </c>
      <c r="C49" s="44">
        <f t="shared" si="20"/>
        <v>0.3732615327030687</v>
      </c>
      <c r="D49" s="44">
        <f t="shared" si="20"/>
        <v>0.1752942677372471</v>
      </c>
      <c r="E49" s="44">
        <f t="shared" si="20"/>
        <v>0.3732615327030687</v>
      </c>
      <c r="F49" s="44">
        <f t="shared" si="20"/>
        <v>0.28335209270926465</v>
      </c>
      <c r="G49" s="44">
        <f t="shared" si="20"/>
        <v>0.21276886549684948</v>
      </c>
      <c r="I49"/>
      <c r="J49"/>
    </row>
    <row r="50" spans="1:10" ht="12.75">
      <c r="A50" s="91" t="s">
        <v>12</v>
      </c>
      <c r="B50" s="44">
        <f aca="true" t="shared" si="21" ref="B50:G50">IF(B45&gt;0,TDIST(B45/SQRT((1-B45^2)/22),22,2),TDIST(-B45/SQRT((1-B45^2)/22),22,2))</f>
        <v>0.24817195900954891</v>
      </c>
      <c r="C50" s="44">
        <f t="shared" si="21"/>
        <v>0.2087543202699429</v>
      </c>
      <c r="D50" s="44">
        <f t="shared" si="21"/>
        <v>0.5384552294870014</v>
      </c>
      <c r="E50" s="44">
        <f t="shared" si="21"/>
        <v>0.2087543202699429</v>
      </c>
      <c r="F50" s="44">
        <f t="shared" si="21"/>
        <v>0.2482755143793436</v>
      </c>
      <c r="G50" s="44">
        <f t="shared" si="21"/>
        <v>0.10844345744126381</v>
      </c>
      <c r="I50"/>
      <c r="J50"/>
    </row>
    <row r="51" spans="1:10" ht="12.75">
      <c r="A51" s="91" t="s">
        <v>13</v>
      </c>
      <c r="B51" s="44">
        <f aca="true" t="shared" si="22" ref="B51:G51">IF(B46&gt;0,TDIST(B46/SQRT((1-B46^2)/12),12,2),TDIST(-B46/SQRT((1-B46^2)/12),12,2))</f>
        <v>0.03508299589849304</v>
      </c>
      <c r="C51" s="44">
        <f t="shared" si="22"/>
        <v>0.03629777507995426</v>
      </c>
      <c r="D51" s="44">
        <f t="shared" si="22"/>
        <v>0.068716204378016</v>
      </c>
      <c r="E51" s="44">
        <f t="shared" si="22"/>
        <v>0.036297775079954346</v>
      </c>
      <c r="F51" s="44">
        <f t="shared" si="22"/>
        <v>0.019211303834493883</v>
      </c>
      <c r="G51" s="44">
        <f t="shared" si="22"/>
        <v>0.03367349612232474</v>
      </c>
      <c r="I51"/>
      <c r="J51"/>
    </row>
    <row r="52" spans="2:10" ht="12.75">
      <c r="B52" s="43"/>
      <c r="C52" s="38"/>
      <c r="D52" s="38"/>
      <c r="E52" s="38"/>
      <c r="F52" s="38"/>
      <c r="G52" s="38"/>
      <c r="I52"/>
      <c r="J52"/>
    </row>
    <row r="53" spans="2:10" ht="12.75">
      <c r="B53" s="43"/>
      <c r="C53" s="38"/>
      <c r="D53" s="38"/>
      <c r="E53" s="38"/>
      <c r="F53" s="38"/>
      <c r="G53" s="38"/>
      <c r="I53"/>
      <c r="J53"/>
    </row>
    <row r="54" spans="1:10" ht="16.5" thickBot="1">
      <c r="A54" s="102" t="s">
        <v>0</v>
      </c>
      <c r="B54" s="89"/>
      <c r="C54" s="54"/>
      <c r="D54" s="54"/>
      <c r="E54" s="54"/>
      <c r="F54" s="54"/>
      <c r="G54" s="54"/>
      <c r="H54" s="35"/>
      <c r="I54" s="34"/>
      <c r="J54" s="34"/>
    </row>
    <row r="55" spans="2:10" ht="12.75">
      <c r="B55" s="43"/>
      <c r="C55" s="38"/>
      <c r="D55" s="38"/>
      <c r="E55" s="38"/>
      <c r="F55" s="38"/>
      <c r="G55" s="38"/>
      <c r="I55"/>
      <c r="J55"/>
    </row>
    <row r="56" spans="2:10" ht="13.5" thickBot="1">
      <c r="B56" s="43"/>
      <c r="C56" s="60" t="s">
        <v>89</v>
      </c>
      <c r="D56" s="34"/>
      <c r="E56" s="35"/>
      <c r="F56" s="34"/>
      <c r="G56" s="34"/>
      <c r="H56" s="1"/>
      <c r="I56"/>
      <c r="J56"/>
    </row>
    <row r="57" spans="2:10" ht="36" customHeight="1">
      <c r="B57" s="83" t="s">
        <v>88</v>
      </c>
      <c r="C57" s="42" t="s">
        <v>58</v>
      </c>
      <c r="D57" s="42" t="s">
        <v>59</v>
      </c>
      <c r="E57" s="42" t="s">
        <v>4</v>
      </c>
      <c r="F57" s="42" t="s">
        <v>5</v>
      </c>
      <c r="G57" s="42" t="s">
        <v>62</v>
      </c>
      <c r="J57" s="86" t="s">
        <v>92</v>
      </c>
    </row>
    <row r="58" spans="1:10" ht="12.75">
      <c r="A58" s="1">
        <v>1947</v>
      </c>
      <c r="B58" s="43">
        <v>0.8</v>
      </c>
      <c r="C58" s="38"/>
      <c r="D58" s="38"/>
      <c r="E58" s="38"/>
      <c r="F58" s="38"/>
      <c r="G58" s="38"/>
      <c r="J58" s="38">
        <v>-2.3</v>
      </c>
    </row>
    <row r="59" spans="1:10" ht="12.75">
      <c r="A59" s="1">
        <v>1948</v>
      </c>
      <c r="B59" s="43">
        <v>15.5</v>
      </c>
      <c r="C59" s="38"/>
      <c r="D59" s="38"/>
      <c r="E59" s="38"/>
      <c r="F59" s="47"/>
      <c r="G59" s="38"/>
      <c r="J59" s="38">
        <v>-3.8</v>
      </c>
    </row>
    <row r="60" spans="1:10" ht="12.75">
      <c r="A60" s="1">
        <v>1949</v>
      </c>
      <c r="B60" s="43">
        <v>-0.3</v>
      </c>
      <c r="C60" s="38"/>
      <c r="D60" s="43"/>
      <c r="E60" s="38"/>
      <c r="F60" s="47"/>
      <c r="G60" s="38"/>
      <c r="J60" s="38">
        <v>-5.800000000000005</v>
      </c>
    </row>
    <row r="61" spans="1:10" ht="12.75">
      <c r="A61" s="1">
        <v>1950</v>
      </c>
      <c r="B61" s="43">
        <v>14.3</v>
      </c>
      <c r="C61" s="43"/>
      <c r="D61" s="43"/>
      <c r="E61" s="38"/>
      <c r="F61" s="38"/>
      <c r="G61" s="38"/>
      <c r="J61" s="38">
        <v>10.9</v>
      </c>
    </row>
    <row r="62" spans="1:10" ht="12.75">
      <c r="A62" s="1">
        <v>1951</v>
      </c>
      <c r="B62" s="43">
        <v>1.2</v>
      </c>
      <c r="C62" s="151">
        <f>(B62-$C$4*B61)/(1-$C$4)</f>
        <v>-3.5500743665364918</v>
      </c>
      <c r="D62" s="151">
        <f aca="true" t="shared" si="23" ref="D62:D116">(B62-($D$4*B61+$D$5*B60))/(1-$D$4-$D$5)</f>
        <v>-0.3493784347752179</v>
      </c>
      <c r="E62" s="151">
        <f>((B62-$E$4*B61)/(1-$E$4))/$E$6</f>
        <v>-3.3151994714803155</v>
      </c>
      <c r="F62" s="152">
        <f aca="true" t="shared" si="24" ref="F62:F82">IF($B62&gt;$H$4,(B62-$F$4*B61)/(1-$F$4),IF(B62&gt;$H$5,(B62-$F$5*B61)/(1-$F$5),IF(B62&gt;$H$6,(B62-$F$6*B61)/(1-$F$6),IF(B62&gt;$H$7,(B62-$F$7*B61)/(1-$F$7),IF(B62&gt;$H$8,(B62-$F$8*B61)/(1-$F$8),(B62-$F$9*B61)/(1-$F$9))))))</f>
        <v>-4.179581828168761</v>
      </c>
      <c r="G62" s="153"/>
      <c r="H62" s="6"/>
      <c r="J62" s="47">
        <v>8.5</v>
      </c>
    </row>
    <row r="63" spans="1:10" ht="12.75">
      <c r="A63" s="1">
        <v>1952</v>
      </c>
      <c r="B63" s="43">
        <v>-2.6</v>
      </c>
      <c r="C63" s="151">
        <f aca="true" t="shared" si="25" ref="C63:C116">(B63-$C$4*B62)/(1-$C$4)</f>
        <v>-3.9778841673922654</v>
      </c>
      <c r="D63" s="151">
        <f t="shared" si="23"/>
        <v>4.852525385416104</v>
      </c>
      <c r="E63" s="151">
        <f aca="true" t="shared" si="26" ref="E63:E116">((B63-$E$4*B62)/(1-$E$4))/$E$6</f>
        <v>-3.714705137913678</v>
      </c>
      <c r="F63" s="152">
        <f t="shared" si="24"/>
        <v>-4.160489385270328</v>
      </c>
      <c r="G63" s="153"/>
      <c r="H63" s="6"/>
      <c r="J63" s="47">
        <v>-0.1</v>
      </c>
    </row>
    <row r="64" spans="1:10" ht="12.75">
      <c r="A64" s="1">
        <v>1953</v>
      </c>
      <c r="B64" s="43">
        <v>7</v>
      </c>
      <c r="C64" s="151">
        <f t="shared" si="25"/>
        <v>10.48097052814888</v>
      </c>
      <c r="D64" s="151">
        <f t="shared" si="23"/>
        <v>4.990504259199339</v>
      </c>
      <c r="E64" s="151">
        <f t="shared" si="26"/>
        <v>9.787543687266238</v>
      </c>
      <c r="F64" s="152">
        <f t="shared" si="24"/>
        <v>9.268108231286817</v>
      </c>
      <c r="G64" s="153"/>
      <c r="H64" s="6"/>
      <c r="J64" s="47">
        <v>24.2</v>
      </c>
    </row>
    <row r="65" spans="1:10" ht="12.75">
      <c r="A65" s="1">
        <v>1954</v>
      </c>
      <c r="B65" s="43">
        <v>10.5</v>
      </c>
      <c r="C65" s="151">
        <f t="shared" si="25"/>
        <v>11.769103838387615</v>
      </c>
      <c r="D65" s="151">
        <f t="shared" si="23"/>
        <v>4.759826660219083</v>
      </c>
      <c r="E65" s="151">
        <f t="shared" si="26"/>
        <v>10.990453381089337</v>
      </c>
      <c r="F65" s="152">
        <f t="shared" si="24"/>
        <v>11.326914459323318</v>
      </c>
      <c r="G65" s="153"/>
      <c r="H65" s="6"/>
      <c r="J65" s="47">
        <v>48.6</v>
      </c>
    </row>
    <row r="66" spans="1:10" ht="12.75">
      <c r="A66" s="1">
        <v>1955</v>
      </c>
      <c r="B66" s="43">
        <v>0.7</v>
      </c>
      <c r="C66" s="151">
        <f t="shared" si="25"/>
        <v>-2.853490747485315</v>
      </c>
      <c r="D66" s="151">
        <f t="shared" si="23"/>
        <v>2.9241979241052225</v>
      </c>
      <c r="E66" s="151">
        <f t="shared" si="26"/>
        <v>-2.664702212186756</v>
      </c>
      <c r="F66" s="152">
        <f t="shared" si="24"/>
        <v>-3.324419993591897</v>
      </c>
      <c r="G66" s="153"/>
      <c r="H66" s="6"/>
      <c r="J66" s="47">
        <v>10.9</v>
      </c>
    </row>
    <row r="67" spans="1:10" ht="12.75">
      <c r="A67" s="1">
        <v>1956</v>
      </c>
      <c r="B67" s="43">
        <v>6.1</v>
      </c>
      <c r="C67" s="151">
        <f t="shared" si="25"/>
        <v>8.058045922083744</v>
      </c>
      <c r="D67" s="151">
        <f t="shared" si="23"/>
        <v>8.462499409839895</v>
      </c>
      <c r="E67" s="151">
        <f t="shared" si="26"/>
        <v>7.5249211210521105</v>
      </c>
      <c r="F67" s="152">
        <f t="shared" si="24"/>
        <v>7.375810880098834</v>
      </c>
      <c r="G67" s="152"/>
      <c r="H67" s="6"/>
      <c r="J67" s="47">
        <v>-9.000000000000007</v>
      </c>
    </row>
    <row r="68" spans="1:10" ht="12.75">
      <c r="A68" s="1">
        <v>1957</v>
      </c>
      <c r="B68" s="43">
        <v>2.6</v>
      </c>
      <c r="C68" s="151">
        <f t="shared" si="25"/>
        <v>1.3308961616123882</v>
      </c>
      <c r="D68" s="151">
        <f t="shared" si="23"/>
        <v>1.5026384020185672</v>
      </c>
      <c r="E68" s="151">
        <f t="shared" si="26"/>
        <v>1.2428433311601774</v>
      </c>
      <c r="F68" s="152">
        <f t="shared" si="24"/>
        <v>1.1627071451457511</v>
      </c>
      <c r="G68" s="152"/>
      <c r="J68" s="47">
        <v>-1.100000000000012</v>
      </c>
    </row>
    <row r="69" spans="1:10" ht="12.75">
      <c r="A69" s="1">
        <v>1958</v>
      </c>
      <c r="B69" s="43">
        <v>8.1</v>
      </c>
      <c r="C69" s="151">
        <f t="shared" si="25"/>
        <v>10.094306031751962</v>
      </c>
      <c r="D69" s="151">
        <f t="shared" si="23"/>
        <v>7.55175899370505</v>
      </c>
      <c r="E69" s="151">
        <f t="shared" si="26"/>
        <v>9.426461129058907</v>
      </c>
      <c r="F69" s="152">
        <f t="shared" si="24"/>
        <v>9.399437007508071</v>
      </c>
      <c r="G69" s="152"/>
      <c r="J69" s="47">
        <v>47.9</v>
      </c>
    </row>
    <row r="70" spans="1:10" ht="12.75">
      <c r="A70" s="1">
        <v>1959</v>
      </c>
      <c r="B70" s="43">
        <v>11.1</v>
      </c>
      <c r="C70" s="151">
        <f t="shared" si="25"/>
        <v>12.187803290046524</v>
      </c>
      <c r="D70" s="151">
        <f t="shared" si="23"/>
        <v>7.4236315879140795</v>
      </c>
      <c r="E70" s="151">
        <f t="shared" si="26"/>
        <v>11.38145144409694</v>
      </c>
      <c r="F70" s="152">
        <f t="shared" si="24"/>
        <v>11.592878312626281</v>
      </c>
      <c r="G70" s="152"/>
      <c r="J70" s="47">
        <v>54.8</v>
      </c>
    </row>
    <row r="71" spans="1:10" ht="12.75">
      <c r="A71" s="1">
        <v>1960</v>
      </c>
      <c r="B71" s="43">
        <v>9.8</v>
      </c>
      <c r="C71" s="151">
        <f t="shared" si="25"/>
        <v>9.328618574313175</v>
      </c>
      <c r="D71" s="151">
        <f t="shared" si="23"/>
        <v>8.939177662018077</v>
      </c>
      <c r="E71" s="151">
        <f t="shared" si="26"/>
        <v>8.711431979769092</v>
      </c>
      <c r="F71" s="152">
        <f t="shared" si="24"/>
        <v>9.492860343679911</v>
      </c>
      <c r="G71" s="152"/>
      <c r="J71" s="47">
        <v>1.8</v>
      </c>
    </row>
    <row r="72" spans="1:10" ht="12.75">
      <c r="A72" s="1">
        <v>1961</v>
      </c>
      <c r="B72" s="43">
        <v>6.3</v>
      </c>
      <c r="C72" s="151">
        <f t="shared" si="25"/>
        <v>5.030896161612388</v>
      </c>
      <c r="D72" s="151">
        <f t="shared" si="23"/>
        <v>8.25673734088575</v>
      </c>
      <c r="E72" s="151">
        <f t="shared" si="26"/>
        <v>4.698049272787902</v>
      </c>
      <c r="F72" s="152">
        <f t="shared" si="24"/>
        <v>5.473085540676681</v>
      </c>
      <c r="G72" s="152"/>
      <c r="J72" s="47">
        <v>1.6999999999999904</v>
      </c>
    </row>
    <row r="73" spans="1:10" ht="12.75">
      <c r="A73" s="1">
        <v>1962</v>
      </c>
      <c r="B73" s="43">
        <v>6.8</v>
      </c>
      <c r="C73" s="151">
        <f t="shared" si="25"/>
        <v>6.981300548341087</v>
      </c>
      <c r="D73" s="151">
        <f t="shared" si="23"/>
        <v>8.200546107437926</v>
      </c>
      <c r="E73" s="151">
        <f t="shared" si="26"/>
        <v>6.519413820247842</v>
      </c>
      <c r="F73" s="152">
        <f t="shared" si="24"/>
        <v>6.918130637046188</v>
      </c>
      <c r="G73" s="152"/>
      <c r="J73" s="47">
        <v>0.4</v>
      </c>
    </row>
    <row r="74" spans="1:10" ht="12.75">
      <c r="A74" s="1">
        <v>1963</v>
      </c>
      <c r="B74" s="43">
        <v>10.3</v>
      </c>
      <c r="C74" s="151">
        <f t="shared" si="25"/>
        <v>11.569103838387614</v>
      </c>
      <c r="D74" s="151">
        <f t="shared" si="23"/>
        <v>8.707931189128242</v>
      </c>
      <c r="E74" s="151">
        <f t="shared" si="26"/>
        <v>10.803685492352702</v>
      </c>
      <c r="F74" s="152">
        <f t="shared" si="24"/>
        <v>11.12691445932332</v>
      </c>
      <c r="G74" s="152"/>
      <c r="J74" s="47">
        <v>19.5</v>
      </c>
    </row>
    <row r="75" spans="1:10" ht="12.75">
      <c r="A75" s="1">
        <v>1964</v>
      </c>
      <c r="B75" s="43">
        <v>8.3</v>
      </c>
      <c r="C75" s="151">
        <f t="shared" si="25"/>
        <v>7.574797806635652</v>
      </c>
      <c r="D75" s="151">
        <f t="shared" si="23"/>
        <v>7.484090026681935</v>
      </c>
      <c r="E75" s="151">
        <f t="shared" si="26"/>
        <v>7.073644969761125</v>
      </c>
      <c r="F75" s="152">
        <f t="shared" si="24"/>
        <v>7.8274774518152475</v>
      </c>
      <c r="G75" s="152"/>
      <c r="J75" s="47">
        <v>-5.900000000000006</v>
      </c>
    </row>
    <row r="76" spans="1:10" ht="12.75">
      <c r="A76" s="1">
        <v>1965</v>
      </c>
      <c r="B76" s="43">
        <v>4.7</v>
      </c>
      <c r="C76" s="151">
        <f t="shared" si="25"/>
        <v>3.3946360519441705</v>
      </c>
      <c r="D76" s="151">
        <f t="shared" si="23"/>
        <v>7.0147980469226505</v>
      </c>
      <c r="E76" s="151">
        <f t="shared" si="26"/>
        <v>3.170045042254373</v>
      </c>
      <c r="F76" s="152">
        <f t="shared" si="24"/>
        <v>3.849459413267444</v>
      </c>
      <c r="G76" s="152"/>
      <c r="J76" s="47">
        <v>12.4</v>
      </c>
    </row>
    <row r="77" spans="1:10" ht="12.75">
      <c r="A77" s="1">
        <v>1966</v>
      </c>
      <c r="B77" s="43">
        <v>3.1</v>
      </c>
      <c r="C77" s="151">
        <f t="shared" si="25"/>
        <v>2.5198382453085206</v>
      </c>
      <c r="D77" s="151">
        <f t="shared" si="23"/>
        <v>5.3646202614574845</v>
      </c>
      <c r="E77" s="151">
        <f t="shared" si="26"/>
        <v>2.3531243451704813</v>
      </c>
      <c r="F77" s="152">
        <f t="shared" si="24"/>
        <v>2.4429518377809147</v>
      </c>
      <c r="G77" s="152"/>
      <c r="J77" s="47">
        <v>-5.500000000000016</v>
      </c>
    </row>
    <row r="78" spans="1:10" ht="12.75">
      <c r="A78" s="1">
        <v>1967</v>
      </c>
      <c r="B78" s="43">
        <v>7.9</v>
      </c>
      <c r="C78" s="151">
        <f t="shared" si="25"/>
        <v>9.64048526407444</v>
      </c>
      <c r="D78" s="151">
        <f t="shared" si="23"/>
        <v>6.758501430844423</v>
      </c>
      <c r="E78" s="151">
        <f t="shared" si="26"/>
        <v>9.002665395839061</v>
      </c>
      <c r="F78" s="152">
        <f t="shared" si="24"/>
        <v>9.034054115643409</v>
      </c>
      <c r="G78" s="152"/>
      <c r="J78" s="47">
        <v>38.1</v>
      </c>
    </row>
    <row r="79" spans="1:10" ht="12.75">
      <c r="A79" s="1">
        <v>1968</v>
      </c>
      <c r="B79" s="43">
        <v>21.3</v>
      </c>
      <c r="C79" s="151">
        <f t="shared" si="25"/>
        <v>26.158854695541145</v>
      </c>
      <c r="D79" s="151">
        <f t="shared" si="23"/>
        <v>13.88923935511194</v>
      </c>
      <c r="E79" s="151">
        <f t="shared" si="26"/>
        <v>24.42817031627299</v>
      </c>
      <c r="F79" s="152">
        <f t="shared" si="24"/>
        <v>25.557356366793623</v>
      </c>
      <c r="G79" s="152">
        <f>(B79-$G$4*CORREL(B59:B78,B58:B77)*B78)/(1-$G$4*CORREL(B59:B78,B58:B77))</f>
        <v>17.796691910354916</v>
      </c>
      <c r="H79" s="47"/>
      <c r="J79" s="47">
        <v>41.7</v>
      </c>
    </row>
    <row r="80" spans="1:10" ht="12.75">
      <c r="A80" s="1">
        <v>1969</v>
      </c>
      <c r="B80" s="43">
        <v>5.3</v>
      </c>
      <c r="C80" s="151">
        <f t="shared" si="25"/>
        <v>-0.5016175469148</v>
      </c>
      <c r="D80" s="151">
        <f t="shared" si="23"/>
        <v>5.4279208862108375</v>
      </c>
      <c r="E80" s="151">
        <f t="shared" si="26"/>
        <v>-0.46843025095263263</v>
      </c>
      <c r="F80" s="152">
        <f t="shared" si="24"/>
        <v>1.519819614521971</v>
      </c>
      <c r="G80" s="152">
        <f aca="true" t="shared" si="27" ref="G80:G116">(B80-$G$4*CORREL(B60:B79,B59:B78)*B79)/(1-$G$4*CORREL(B60:B79,B59:B78))</f>
        <v>7.693197686892079</v>
      </c>
      <c r="J80" s="47">
        <v>-11.7</v>
      </c>
    </row>
    <row r="81" spans="1:10" ht="12.75">
      <c r="A81" s="1">
        <v>1970</v>
      </c>
      <c r="B81" s="43">
        <v>24.6</v>
      </c>
      <c r="C81" s="151">
        <f t="shared" si="25"/>
        <v>31.598201165965982</v>
      </c>
      <c r="D81" s="151">
        <f t="shared" si="23"/>
        <v>24.37105234127094</v>
      </c>
      <c r="E81" s="151">
        <f t="shared" si="26"/>
        <v>29.507646598214528</v>
      </c>
      <c r="F81" s="152">
        <f t="shared" si="24"/>
        <v>30.73186402082962</v>
      </c>
      <c r="G81" s="152">
        <f t="shared" si="27"/>
        <v>23.033069163102553</v>
      </c>
      <c r="J81" s="47">
        <v>-1.9</v>
      </c>
    </row>
    <row r="82" spans="1:10" ht="12.75">
      <c r="A82" s="1">
        <v>1971</v>
      </c>
      <c r="B82" s="43">
        <v>16.11364</v>
      </c>
      <c r="C82" s="151">
        <f t="shared" si="25"/>
        <v>13.03647655716026</v>
      </c>
      <c r="D82" s="151">
        <f t="shared" si="23"/>
        <v>10.62363351551207</v>
      </c>
      <c r="E82" s="151">
        <f t="shared" si="26"/>
        <v>12.17397601572721</v>
      </c>
      <c r="F82" s="152">
        <f t="shared" si="24"/>
        <v>14.719392400953613</v>
      </c>
      <c r="G82" s="152">
        <f t="shared" si="27"/>
        <v>16.460196020131164</v>
      </c>
      <c r="J82" s="47">
        <v>46.5</v>
      </c>
    </row>
    <row r="83" spans="1:10" ht="12.75">
      <c r="A83" s="1">
        <v>1972</v>
      </c>
      <c r="B83" s="43">
        <v>29.40153</v>
      </c>
      <c r="C83" s="151">
        <f t="shared" si="25"/>
        <v>34.219733486592105</v>
      </c>
      <c r="D83" s="151">
        <f t="shared" si="23"/>
        <v>28.09086177282194</v>
      </c>
      <c r="E83" s="151">
        <f t="shared" si="26"/>
        <v>31.955736882105473</v>
      </c>
      <c r="F83" s="152">
        <f>IF($B83&gt;$H$4,(B83-$F$4*B82)/(1-$F$4),IF(B83&gt;$H$5,(B83-$F$5*B82)/(1-$F$5),IF(B83&gt;$H$6,(B83-$F$6*B82)/(1-$F$6),IF(B83&gt;$H$7,(B83-$F$7*B82)/(1-$F$7),IF(B83&gt;$H$8,(B83-$F$8*B82)/(1-$F$8),(B83-$F$9*B82)/(1-$F$9))))))</f>
        <v>36.280708734699594</v>
      </c>
      <c r="G83" s="152">
        <f t="shared" si="27"/>
        <v>32.83572203430343</v>
      </c>
      <c r="J83" s="47">
        <v>16.4</v>
      </c>
    </row>
    <row r="84" spans="1:10" ht="12.75">
      <c r="A84" s="1">
        <v>1973</v>
      </c>
      <c r="B84" s="43">
        <v>28.45172</v>
      </c>
      <c r="C84" s="151">
        <f t="shared" si="25"/>
        <v>28.10731785236031</v>
      </c>
      <c r="D84" s="151">
        <f t="shared" si="23"/>
        <v>22.764821356089396</v>
      </c>
      <c r="E84" s="151">
        <f t="shared" si="26"/>
        <v>26.24772206667415</v>
      </c>
      <c r="F84" s="152">
        <f aca="true" t="shared" si="28" ref="F84:F116">IF($B84&gt;$H$4,(B84-$F$4*B83)/(1-$F$4),IF(B84&gt;$H$5,(B84-$F$5*B83)/(1-$F$5),IF(B84&gt;$H$6,(B84-$F$6*B83)/(1-$F$6),IF(B84&gt;$H$7,(B84-$F$7*B83)/(1-$F$7),IF(B84&gt;$H$8,(B84-$F$8*B83)/(1-$F$8),(B84-$F$9*B83)/(1-$F$9))))))</f>
        <v>27.96000064094412</v>
      </c>
      <c r="G84" s="152">
        <f t="shared" si="27"/>
        <v>28.107365375639166</v>
      </c>
      <c r="J84" s="47">
        <v>-28.1</v>
      </c>
    </row>
    <row r="85" spans="1:10" ht="12.75">
      <c r="A85" s="1">
        <v>1974</v>
      </c>
      <c r="B85" s="43">
        <v>-15.94715</v>
      </c>
      <c r="C85" s="151">
        <f t="shared" si="25"/>
        <v>-32.04622895344932</v>
      </c>
      <c r="D85" s="151">
        <f t="shared" si="23"/>
        <v>1.790596414675973</v>
      </c>
      <c r="E85" s="151">
        <f t="shared" si="26"/>
        <v>-29.926032618032572</v>
      </c>
      <c r="F85" s="152">
        <f t="shared" si="28"/>
        <v>-44.465939263430215</v>
      </c>
      <c r="G85" s="152">
        <f t="shared" si="27"/>
        <v>-55.178708380993925</v>
      </c>
      <c r="J85" s="47">
        <v>-50.1</v>
      </c>
    </row>
    <row r="86" spans="1:10" ht="12.75">
      <c r="A86" s="1">
        <v>1975</v>
      </c>
      <c r="B86" s="43">
        <v>11.39156</v>
      </c>
      <c r="C86" s="151">
        <f t="shared" si="25"/>
        <v>21.304606227875947</v>
      </c>
      <c r="D86" s="151">
        <f t="shared" si="23"/>
        <v>20.974683170661887</v>
      </c>
      <c r="E86" s="151">
        <f t="shared" si="26"/>
        <v>19.895081627728647</v>
      </c>
      <c r="F86" s="152">
        <f t="shared" si="28"/>
        <v>15.88311241805974</v>
      </c>
      <c r="G86" s="152">
        <f t="shared" si="27"/>
        <v>12.951535534798492</v>
      </c>
      <c r="J86" s="47">
        <v>149.3</v>
      </c>
    </row>
    <row r="87" spans="1:10" ht="12.75">
      <c r="A87" s="1">
        <v>1976</v>
      </c>
      <c r="B87" s="43">
        <v>9.42893</v>
      </c>
      <c r="C87" s="151">
        <f t="shared" si="25"/>
        <v>8.717278209618662</v>
      </c>
      <c r="D87" s="151">
        <f t="shared" si="23"/>
        <v>-2.2680793746184174</v>
      </c>
      <c r="E87" s="151">
        <f t="shared" si="26"/>
        <v>8.140538233701701</v>
      </c>
      <c r="F87" s="152">
        <f t="shared" si="28"/>
        <v>8.965236535628078</v>
      </c>
      <c r="G87" s="152">
        <f t="shared" si="27"/>
        <v>9.373835339808537</v>
      </c>
      <c r="J87" s="47">
        <v>2.299999999999991</v>
      </c>
    </row>
    <row r="88" spans="1:10" ht="12.75">
      <c r="A88" s="1">
        <v>1977</v>
      </c>
      <c r="B88" s="43">
        <v>26.50082</v>
      </c>
      <c r="C88" s="151">
        <f t="shared" si="25"/>
        <v>32.69110603643746</v>
      </c>
      <c r="D88" s="151">
        <f t="shared" si="23"/>
        <v>20.74156089851367</v>
      </c>
      <c r="E88" s="151">
        <f t="shared" si="26"/>
        <v>30.52824427445424</v>
      </c>
      <c r="F88" s="152">
        <f t="shared" si="28"/>
        <v>35.33898637924687</v>
      </c>
      <c r="G88" s="152">
        <f t="shared" si="27"/>
        <v>26.622879916993448</v>
      </c>
      <c r="J88" s="47">
        <v>48.6</v>
      </c>
    </row>
    <row r="89" spans="1:10" ht="12.75">
      <c r="A89" s="1">
        <v>1978</v>
      </c>
      <c r="B89" s="43">
        <v>25.67549</v>
      </c>
      <c r="C89" s="151">
        <f t="shared" si="25"/>
        <v>25.376224436875304</v>
      </c>
      <c r="D89" s="151">
        <f t="shared" si="23"/>
        <v>18.21519220513972</v>
      </c>
      <c r="E89" s="151">
        <f t="shared" si="26"/>
        <v>23.697319310910867</v>
      </c>
      <c r="F89" s="152">
        <f t="shared" si="28"/>
        <v>25.24821429369075</v>
      </c>
      <c r="G89" s="152">
        <f t="shared" si="27"/>
        <v>25.69007515420449</v>
      </c>
      <c r="J89" s="47">
        <v>8.600000000000009</v>
      </c>
    </row>
    <row r="90" spans="1:10" ht="12.75">
      <c r="A90" s="1">
        <v>1979</v>
      </c>
      <c r="B90" s="43">
        <v>23.20035</v>
      </c>
      <c r="C90" s="151">
        <f t="shared" si="25"/>
        <v>22.302861521558086</v>
      </c>
      <c r="D90" s="151">
        <f t="shared" si="23"/>
        <v>24.541269034682518</v>
      </c>
      <c r="E90" s="151">
        <f t="shared" si="26"/>
        <v>20.827291795834554</v>
      </c>
      <c r="F90" s="152">
        <f t="shared" si="28"/>
        <v>22.413965444947348</v>
      </c>
      <c r="G90" s="152">
        <f t="shared" si="27"/>
        <v>23.033042218061688</v>
      </c>
      <c r="J90" s="47">
        <v>11.5</v>
      </c>
    </row>
    <row r="91" spans="1:10" ht="12.75">
      <c r="A91" s="1">
        <v>1980</v>
      </c>
      <c r="B91" s="43">
        <v>17.51072</v>
      </c>
      <c r="C91" s="151">
        <f t="shared" si="25"/>
        <v>15.447653922284196</v>
      </c>
      <c r="D91" s="151">
        <f t="shared" si="23"/>
        <v>20.856552606905137</v>
      </c>
      <c r="E91" s="151">
        <f t="shared" si="26"/>
        <v>14.425628544995995</v>
      </c>
      <c r="F91" s="152">
        <f t="shared" si="28"/>
        <v>16.575954922044048</v>
      </c>
      <c r="G91" s="152">
        <f t="shared" si="27"/>
        <v>16.758234620879925</v>
      </c>
      <c r="J91" s="47">
        <v>34.8</v>
      </c>
    </row>
    <row r="92" spans="1:10" ht="12.75">
      <c r="A92" s="1">
        <v>1981</v>
      </c>
      <c r="B92" s="43">
        <v>15.01714</v>
      </c>
      <c r="C92" s="151">
        <f t="shared" si="25"/>
        <v>14.112965157335264</v>
      </c>
      <c r="D92" s="151">
        <f t="shared" si="23"/>
        <v>18.582567574741788</v>
      </c>
      <c r="E92" s="151">
        <f t="shared" si="26"/>
        <v>13.179243531245907</v>
      </c>
      <c r="F92" s="152">
        <f t="shared" si="28"/>
        <v>14.607462832400454</v>
      </c>
      <c r="G92" s="152">
        <f t="shared" si="27"/>
        <v>14.645607101799373</v>
      </c>
      <c r="J92" s="47">
        <v>13.6</v>
      </c>
    </row>
    <row r="93" spans="1:10" ht="12.75">
      <c r="A93" s="1">
        <v>1982</v>
      </c>
      <c r="B93" s="43">
        <v>7.5303</v>
      </c>
      <c r="C93" s="151">
        <f t="shared" si="25"/>
        <v>4.815563605316027</v>
      </c>
      <c r="D93" s="151">
        <f t="shared" si="23"/>
        <v>11.585014154256331</v>
      </c>
      <c r="E93" s="151">
        <f t="shared" si="26"/>
        <v>4.496963238209233</v>
      </c>
      <c r="F93" s="152">
        <f t="shared" si="28"/>
        <v>5.761449642674231</v>
      </c>
      <c r="G93" s="152">
        <f t="shared" si="27"/>
        <v>6.48769083777518</v>
      </c>
      <c r="J93" s="47">
        <v>28.5</v>
      </c>
    </row>
    <row r="94" spans="1:10" ht="12.75">
      <c r="A94" s="1">
        <v>1983</v>
      </c>
      <c r="B94" s="43">
        <v>7.58464</v>
      </c>
      <c r="C94" s="151">
        <f t="shared" si="25"/>
        <v>7.604343743593709</v>
      </c>
      <c r="D94" s="151">
        <f t="shared" si="23"/>
        <v>10.976229253210395</v>
      </c>
      <c r="E94" s="151">
        <f t="shared" si="26"/>
        <v>7.101236131093135</v>
      </c>
      <c r="F94" s="152">
        <f t="shared" si="28"/>
        <v>7.59747843763418</v>
      </c>
      <c r="G94" s="152">
        <f t="shared" si="27"/>
        <v>7.590517438446431</v>
      </c>
      <c r="J94" s="47">
        <v>28.8</v>
      </c>
    </row>
    <row r="95" spans="1:10" ht="12.75">
      <c r="A95" s="1">
        <v>1984</v>
      </c>
      <c r="B95" s="43">
        <v>8.85436</v>
      </c>
      <c r="C95" s="151">
        <f t="shared" si="25"/>
        <v>9.314761864479292</v>
      </c>
      <c r="D95" s="151">
        <f t="shared" si="23"/>
        <v>8.334707095289017</v>
      </c>
      <c r="E95" s="151">
        <f t="shared" si="26"/>
        <v>8.698492037566538</v>
      </c>
      <c r="F95" s="152">
        <f t="shared" si="28"/>
        <v>9.154345664940573</v>
      </c>
      <c r="G95" s="152">
        <f t="shared" si="27"/>
        <v>9.001048326367874</v>
      </c>
      <c r="J95" s="47">
        <v>31.6</v>
      </c>
    </row>
    <row r="96" spans="1:10" ht="12.75">
      <c r="A96" s="1">
        <v>1985</v>
      </c>
      <c r="B96" s="43">
        <v>8.32599</v>
      </c>
      <c r="C96" s="151">
        <f t="shared" si="25"/>
        <v>8.13440245854604</v>
      </c>
      <c r="D96" s="151">
        <f t="shared" si="23"/>
        <v>7.953142472044899</v>
      </c>
      <c r="E96" s="151">
        <f t="shared" si="26"/>
        <v>7.596225866583635</v>
      </c>
      <c r="F96" s="152">
        <f t="shared" si="28"/>
        <v>8.20115663060781</v>
      </c>
      <c r="G96" s="152">
        <f t="shared" si="27"/>
        <v>8.262009625741058</v>
      </c>
      <c r="J96" s="47">
        <v>20.2</v>
      </c>
    </row>
    <row r="97" spans="1:10" ht="12.75">
      <c r="A97" s="1">
        <v>1986</v>
      </c>
      <c r="B97" s="43">
        <v>11.31609</v>
      </c>
      <c r="C97" s="151">
        <f t="shared" si="25"/>
        <v>12.400303539189373</v>
      </c>
      <c r="D97" s="151">
        <f t="shared" si="23"/>
        <v>10.391526219249831</v>
      </c>
      <c r="E97" s="151">
        <f t="shared" si="26"/>
        <v>11.579892558539033</v>
      </c>
      <c r="F97" s="152">
        <f t="shared" si="28"/>
        <v>11.807341814194617</v>
      </c>
      <c r="G97" s="152">
        <f t="shared" si="27"/>
        <v>11.646135712253011</v>
      </c>
      <c r="J97" s="47">
        <v>27.3</v>
      </c>
    </row>
    <row r="98" spans="1:10" ht="12.75">
      <c r="A98" s="1">
        <v>1987</v>
      </c>
      <c r="B98" s="43">
        <v>26.04335</v>
      </c>
      <c r="C98" s="151">
        <f t="shared" si="25"/>
        <v>31.383470627123533</v>
      </c>
      <c r="D98" s="151">
        <f t="shared" si="23"/>
        <v>18.940296883787724</v>
      </c>
      <c r="E98" s="151">
        <f t="shared" si="26"/>
        <v>29.307122751280108</v>
      </c>
      <c r="F98" s="152">
        <f t="shared" si="28"/>
        <v>33.6676947087831</v>
      </c>
      <c r="G98" s="152">
        <f t="shared" si="27"/>
        <v>27.059004524150197</v>
      </c>
      <c r="J98" s="47">
        <v>8.022181710005416</v>
      </c>
    </row>
    <row r="99" spans="1:10" ht="12.75">
      <c r="A99" s="1">
        <v>1988</v>
      </c>
      <c r="B99" s="43">
        <v>29.58846</v>
      </c>
      <c r="C99" s="151">
        <f t="shared" si="25"/>
        <v>30.87392077385895</v>
      </c>
      <c r="D99" s="151">
        <f t="shared" si="23"/>
        <v>21.49351674387956</v>
      </c>
      <c r="E99" s="151">
        <f t="shared" si="26"/>
        <v>28.83128499977867</v>
      </c>
      <c r="F99" s="152">
        <f t="shared" si="28"/>
        <v>31.423773606913578</v>
      </c>
      <c r="G99" s="152">
        <f t="shared" si="27"/>
        <v>29.642832261182757</v>
      </c>
      <c r="J99" s="47">
        <v>11.5498954920348</v>
      </c>
    </row>
    <row r="100" spans="1:10" ht="12.75">
      <c r="A100" s="1">
        <v>1989</v>
      </c>
      <c r="B100" s="43">
        <v>15.42666</v>
      </c>
      <c r="C100" s="151">
        <f t="shared" si="25"/>
        <v>10.291575789006375</v>
      </c>
      <c r="D100" s="151">
        <f t="shared" si="23"/>
        <v>19.330339103905068</v>
      </c>
      <c r="E100" s="151">
        <f t="shared" si="26"/>
        <v>9.610679409428883</v>
      </c>
      <c r="F100" s="152">
        <f t="shared" si="28"/>
        <v>13.099978637416381</v>
      </c>
      <c r="G100" s="152">
        <f t="shared" si="27"/>
        <v>13.889625806118781</v>
      </c>
      <c r="J100" s="47">
        <v>36.08159648040008</v>
      </c>
    </row>
    <row r="101" spans="1:10" ht="12.75">
      <c r="A101" s="1">
        <v>1990</v>
      </c>
      <c r="B101" s="43">
        <v>-8.4526</v>
      </c>
      <c r="C101" s="151">
        <f t="shared" si="25"/>
        <v>-17.111245863958793</v>
      </c>
      <c r="D101" s="151">
        <f t="shared" si="23"/>
        <v>7.309972320135572</v>
      </c>
      <c r="E101" s="151">
        <f t="shared" si="26"/>
        <v>-15.979156318325202</v>
      </c>
      <c r="F101" s="152">
        <f t="shared" si="28"/>
        <v>-23.790999011205884</v>
      </c>
      <c r="G101" s="152">
        <f t="shared" si="27"/>
        <v>-11.682283091560228</v>
      </c>
      <c r="J101" s="47">
        <v>-9.736872096998894</v>
      </c>
    </row>
    <row r="102" spans="1:10" ht="12.75">
      <c r="A102" s="1">
        <v>1991</v>
      </c>
      <c r="B102" s="43">
        <v>-3.13379</v>
      </c>
      <c r="C102" s="151">
        <f t="shared" si="25"/>
        <v>-1.2051836609558808</v>
      </c>
      <c r="D102" s="151">
        <f t="shared" si="23"/>
        <v>5.678182624848685</v>
      </c>
      <c r="E102" s="151">
        <f t="shared" si="26"/>
        <v>-1.1254480394830846</v>
      </c>
      <c r="F102" s="152">
        <f t="shared" si="28"/>
        <v>-0.9495935401921911</v>
      </c>
      <c r="G102" s="152">
        <f t="shared" si="27"/>
        <v>-2.1560140133478933</v>
      </c>
      <c r="J102" s="47">
        <v>20.747191300762722</v>
      </c>
    </row>
    <row r="103" spans="1:10" ht="12.75">
      <c r="A103" s="1">
        <v>1992</v>
      </c>
      <c r="B103" s="43">
        <v>-1.67261</v>
      </c>
      <c r="C103" s="151">
        <f t="shared" si="25"/>
        <v>-1.1427845295499395</v>
      </c>
      <c r="D103" s="151">
        <f t="shared" si="23"/>
        <v>-4.666619031123491</v>
      </c>
      <c r="E103" s="151">
        <f t="shared" si="26"/>
        <v>-1.0671772693246473</v>
      </c>
      <c r="F103" s="152">
        <f t="shared" si="28"/>
        <v>-1.072568978955448</v>
      </c>
      <c r="G103" s="152">
        <f t="shared" si="27"/>
        <v>-1.1356588686547266</v>
      </c>
      <c r="J103" s="47">
        <v>20.472488330558726</v>
      </c>
    </row>
    <row r="104" spans="1:10" ht="12.75">
      <c r="A104" s="1">
        <v>1993</v>
      </c>
      <c r="B104" s="43">
        <v>20.25667</v>
      </c>
      <c r="C104" s="151">
        <f t="shared" si="25"/>
        <v>28.20825097745049</v>
      </c>
      <c r="D104" s="151">
        <f t="shared" si="23"/>
        <v>11.043512391154676</v>
      </c>
      <c r="E104" s="151">
        <f t="shared" si="26"/>
        <v>26.34197740005757</v>
      </c>
      <c r="F104" s="152">
        <f t="shared" si="28"/>
        <v>27.223890882626865</v>
      </c>
      <c r="G104" s="152">
        <f t="shared" si="27"/>
        <v>31.051487932222805</v>
      </c>
      <c r="J104" s="47">
        <v>28.44454907445837</v>
      </c>
    </row>
    <row r="105" spans="1:10" ht="12.75">
      <c r="A105" s="1">
        <v>1994</v>
      </c>
      <c r="B105" s="43">
        <v>11.90525</v>
      </c>
      <c r="C105" s="151">
        <f t="shared" si="25"/>
        <v>8.877015949146552</v>
      </c>
      <c r="D105" s="151">
        <f t="shared" si="23"/>
        <v>5.164130058142661</v>
      </c>
      <c r="E105" s="151">
        <f t="shared" si="26"/>
        <v>8.289707635517633</v>
      </c>
      <c r="F105" s="152">
        <f t="shared" si="28"/>
        <v>10.533172067455544</v>
      </c>
      <c r="G105" s="152">
        <f t="shared" si="27"/>
        <v>9.678368782508112</v>
      </c>
      <c r="J105" s="47">
        <v>-5.866861506983945</v>
      </c>
    </row>
    <row r="106" spans="1:10" ht="12.75">
      <c r="A106" s="1">
        <v>1995</v>
      </c>
      <c r="B106" s="43">
        <v>3.5929</v>
      </c>
      <c r="C106" s="151">
        <f t="shared" si="25"/>
        <v>0.5788327739939234</v>
      </c>
      <c r="D106" s="151">
        <f t="shared" si="23"/>
        <v>10.639575181629308</v>
      </c>
      <c r="E106" s="151">
        <f t="shared" si="26"/>
        <v>0.5405368756520709</v>
      </c>
      <c r="F106" s="152">
        <f t="shared" si="28"/>
        <v>0.17939106798636675</v>
      </c>
      <c r="G106" s="152">
        <f t="shared" si="27"/>
        <v>-3.244471432703052</v>
      </c>
      <c r="J106" s="47">
        <v>23.80993123591346</v>
      </c>
    </row>
    <row r="107" spans="1:10" ht="12.75">
      <c r="A107" s="1">
        <v>1996</v>
      </c>
      <c r="B107" s="43">
        <v>10.09678</v>
      </c>
      <c r="C107" s="151">
        <f t="shared" si="25"/>
        <v>12.455094020689266</v>
      </c>
      <c r="D107" s="151">
        <f t="shared" si="23"/>
        <v>11.350910062674261</v>
      </c>
      <c r="E107" s="151">
        <f t="shared" si="26"/>
        <v>11.631058071302027</v>
      </c>
      <c r="F107" s="152">
        <f t="shared" si="28"/>
        <v>11.633394975343927</v>
      </c>
      <c r="G107" s="152">
        <f t="shared" si="27"/>
        <v>16.703643592456906</v>
      </c>
      <c r="J107" s="47">
        <v>16.690281676141062</v>
      </c>
    </row>
    <row r="108" spans="1:10" ht="12.75">
      <c r="A108" s="1">
        <v>1997</v>
      </c>
      <c r="B108" s="43">
        <v>16.92577</v>
      </c>
      <c r="C108" s="151">
        <f t="shared" si="25"/>
        <v>19.401969263231607</v>
      </c>
      <c r="D108" s="151">
        <f t="shared" si="23"/>
        <v>11.299420008903612</v>
      </c>
      <c r="E108" s="151">
        <f t="shared" si="26"/>
        <v>18.118324183134145</v>
      </c>
      <c r="F108" s="152">
        <f t="shared" si="28"/>
        <v>18.047723689380582</v>
      </c>
      <c r="G108" s="152">
        <f t="shared" si="27"/>
        <v>23.850547442804743</v>
      </c>
      <c r="J108" s="47">
        <v>23.54497764951895</v>
      </c>
    </row>
    <row r="109" spans="1:10" ht="12.75">
      <c r="A109" s="1">
        <v>1998</v>
      </c>
      <c r="B109" s="43">
        <v>11.73847</v>
      </c>
      <c r="C109" s="151">
        <f t="shared" si="25"/>
        <v>9.857549331180554</v>
      </c>
      <c r="D109" s="151">
        <f t="shared" si="23"/>
        <v>10.647361498037995</v>
      </c>
      <c r="E109" s="151">
        <f t="shared" si="26"/>
        <v>9.205368383509041</v>
      </c>
      <c r="F109" s="152">
        <f t="shared" si="28"/>
        <v>10.886234109637899</v>
      </c>
      <c r="G109" s="152">
        <f t="shared" si="27"/>
        <v>5.560702239848419</v>
      </c>
      <c r="J109" s="47">
        <v>13.76273562046999</v>
      </c>
    </row>
    <row r="110" spans="1:10" ht="12.75">
      <c r="A110" s="1">
        <v>1999</v>
      </c>
      <c r="B110" s="43">
        <v>14.66541</v>
      </c>
      <c r="C110" s="151">
        <f t="shared" si="25"/>
        <v>15.726721653922926</v>
      </c>
      <c r="D110" s="151">
        <f t="shared" si="23"/>
        <v>15.889169741243114</v>
      </c>
      <c r="E110" s="151">
        <f t="shared" si="26"/>
        <v>14.68623300025943</v>
      </c>
      <c r="F110" s="152">
        <f t="shared" si="28"/>
        <v>15.146285082786124</v>
      </c>
      <c r="G110" s="152">
        <f t="shared" si="27"/>
        <v>17.507239453130474</v>
      </c>
      <c r="J110" s="47">
        <v>24.20209808619782</v>
      </c>
    </row>
    <row r="111" spans="1:10" ht="12.75">
      <c r="A111" s="1">
        <v>2000</v>
      </c>
      <c r="B111" s="43">
        <v>10.48767</v>
      </c>
      <c r="C111" s="151">
        <f t="shared" si="25"/>
        <v>8.97281689434701</v>
      </c>
      <c r="D111" s="151">
        <f t="shared" si="23"/>
        <v>10.781771541256333</v>
      </c>
      <c r="E111" s="151">
        <f t="shared" si="26"/>
        <v>8.37917033688795</v>
      </c>
      <c r="F111" s="152">
        <f t="shared" si="28"/>
        <v>9.500631824773313</v>
      </c>
      <c r="G111" s="152">
        <f t="shared" si="27"/>
        <v>7.182746712270997</v>
      </c>
      <c r="J111" s="47">
        <v>-5.901308305824349</v>
      </c>
    </row>
    <row r="112" spans="1:10" ht="12.75">
      <c r="A112" s="1">
        <v>2001</v>
      </c>
      <c r="B112" s="43">
        <v>6.70543</v>
      </c>
      <c r="C112" s="151">
        <f t="shared" si="25"/>
        <v>5.333985628084811</v>
      </c>
      <c r="D112" s="151">
        <f t="shared" si="23"/>
        <v>10.083948995334826</v>
      </c>
      <c r="E112" s="151">
        <f t="shared" si="26"/>
        <v>4.981086171544738</v>
      </c>
      <c r="F112" s="152">
        <f t="shared" si="28"/>
        <v>5.8118331586768495</v>
      </c>
      <c r="G112" s="152">
        <f t="shared" si="27"/>
        <v>4.015201647239878</v>
      </c>
      <c r="J112" s="47">
        <v>-13.291458949517299</v>
      </c>
    </row>
    <row r="113" spans="1:10" ht="12.75">
      <c r="A113" s="1">
        <v>2002</v>
      </c>
      <c r="B113" s="43">
        <v>9.66001</v>
      </c>
      <c r="C113" s="151">
        <f t="shared" si="25"/>
        <v>10.73134394823522</v>
      </c>
      <c r="D113" s="151">
        <f t="shared" si="23"/>
        <v>10.232520390101573</v>
      </c>
      <c r="E113" s="151">
        <f t="shared" si="26"/>
        <v>10.02135226259272</v>
      </c>
      <c r="F113" s="152">
        <f t="shared" si="28"/>
        <v>10.358062835207853</v>
      </c>
      <c r="G113" s="152">
        <f t="shared" si="27"/>
        <v>11.668097437929196</v>
      </c>
      <c r="J113" s="47">
        <v>-22.682967986628967</v>
      </c>
    </row>
    <row r="114" spans="1:10" ht="12.75">
      <c r="A114" s="1">
        <v>2003</v>
      </c>
      <c r="B114" s="43">
        <v>10.91441</v>
      </c>
      <c r="C114" s="151">
        <f t="shared" si="25"/>
        <v>11.369256815678122</v>
      </c>
      <c r="D114" s="151">
        <f t="shared" si="23"/>
        <v>9.07869535714577</v>
      </c>
      <c r="E114" s="151">
        <f t="shared" si="26"/>
        <v>10.617060459843934</v>
      </c>
      <c r="F114" s="152">
        <f t="shared" si="28"/>
        <v>11.120498851786136</v>
      </c>
      <c r="G114" s="152">
        <f t="shared" si="27"/>
        <v>11.809429286500034</v>
      </c>
      <c r="J114" s="47">
        <v>20.86011671230885</v>
      </c>
    </row>
    <row r="115" spans="1:10" ht="12.75">
      <c r="A115" s="1">
        <v>2004</v>
      </c>
      <c r="B115" s="43">
        <v>18.33464</v>
      </c>
      <c r="C115" s="151">
        <f t="shared" si="25"/>
        <v>21.025223535633977</v>
      </c>
      <c r="D115" s="151">
        <f t="shared" si="23"/>
        <v>14.870750023951238</v>
      </c>
      <c r="E115" s="151">
        <f t="shared" si="26"/>
        <v>19.6341830498307</v>
      </c>
      <c r="F115" s="152">
        <f t="shared" si="28"/>
        <v>20.692144733848732</v>
      </c>
      <c r="G115" s="152">
        <f t="shared" si="27"/>
        <v>23.552449909698446</v>
      </c>
      <c r="J115" s="47">
        <v>12.8</v>
      </c>
    </row>
    <row r="116" spans="1:10" ht="12.75">
      <c r="A116" s="1">
        <v>2005</v>
      </c>
      <c r="B116" s="43">
        <v>19.1</v>
      </c>
      <c r="C116" s="151">
        <f t="shared" si="25"/>
        <v>19.37752037535667</v>
      </c>
      <c r="D116" s="151">
        <f t="shared" si="23"/>
        <v>15.419289800844528</v>
      </c>
      <c r="E116" s="151">
        <f t="shared" si="26"/>
        <v>18.09549284728234</v>
      </c>
      <c r="F116" s="152">
        <f t="shared" si="28"/>
        <v>19.343164945439494</v>
      </c>
      <c r="G116" s="152">
        <f t="shared" si="27"/>
        <v>19.621144409004415</v>
      </c>
      <c r="J116" s="47">
        <v>21.4</v>
      </c>
    </row>
    <row r="117" spans="2:7" ht="12.75">
      <c r="B117" s="44"/>
      <c r="D117" s="44"/>
      <c r="E117" s="44"/>
      <c r="F117" s="44"/>
      <c r="G117" s="44"/>
    </row>
    <row r="118" spans="2:7" ht="13.5" thickBot="1">
      <c r="B118" s="43"/>
      <c r="C118" s="60" t="s">
        <v>75</v>
      </c>
      <c r="D118" s="34"/>
      <c r="E118" s="35"/>
      <c r="F118" s="34"/>
      <c r="G118" s="34"/>
    </row>
    <row r="119" spans="2:10" ht="25.5">
      <c r="B119" s="43" t="s">
        <v>1</v>
      </c>
      <c r="C119" s="42" t="s">
        <v>58</v>
      </c>
      <c r="D119" s="42" t="s">
        <v>59</v>
      </c>
      <c r="E119" s="42" t="s">
        <v>4</v>
      </c>
      <c r="F119" s="42" t="s">
        <v>5</v>
      </c>
      <c r="G119" s="42" t="s">
        <v>62</v>
      </c>
      <c r="H119" s="11"/>
      <c r="J119" s="11"/>
    </row>
    <row r="120" spans="1:10" ht="12.75">
      <c r="A120" s="1">
        <v>1946</v>
      </c>
      <c r="B120" s="43"/>
      <c r="C120" s="43"/>
      <c r="D120" s="43"/>
      <c r="E120" s="43"/>
      <c r="F120" s="43"/>
      <c r="G120" s="43"/>
      <c r="H120" s="5"/>
      <c r="J120" s="5"/>
    </row>
    <row r="121" spans="1:10" ht="12.75">
      <c r="A121" s="1">
        <v>1947</v>
      </c>
      <c r="B121" s="43"/>
      <c r="C121" s="43"/>
      <c r="D121" s="43"/>
      <c r="E121" s="43"/>
      <c r="F121" s="43"/>
      <c r="G121" s="43"/>
      <c r="H121" s="5"/>
      <c r="J121" s="5"/>
    </row>
    <row r="122" spans="1:10" ht="12.75">
      <c r="A122" s="1">
        <v>1948</v>
      </c>
      <c r="B122" s="43"/>
      <c r="C122" s="43"/>
      <c r="D122" s="43"/>
      <c r="E122" s="43"/>
      <c r="F122" s="43"/>
      <c r="G122" s="43"/>
      <c r="H122" s="5"/>
      <c r="J122" s="5"/>
    </row>
    <row r="123" spans="1:10" ht="12.75">
      <c r="A123" s="1">
        <v>1949</v>
      </c>
      <c r="B123" s="43"/>
      <c r="C123" s="43"/>
      <c r="D123" s="43"/>
      <c r="E123" s="43"/>
      <c r="F123" s="43"/>
      <c r="G123" s="43"/>
      <c r="H123" s="5"/>
      <c r="J123" s="5"/>
    </row>
    <row r="124" spans="1:10" ht="12.75">
      <c r="A124" s="1">
        <v>1950</v>
      </c>
      <c r="B124" s="43">
        <v>100</v>
      </c>
      <c r="C124" s="43">
        <v>100</v>
      </c>
      <c r="D124" s="43">
        <v>100</v>
      </c>
      <c r="E124" s="43">
        <v>100</v>
      </c>
      <c r="F124" s="43">
        <v>100</v>
      </c>
      <c r="G124" s="43">
        <v>100</v>
      </c>
      <c r="H124" s="5"/>
      <c r="J124" s="43">
        <v>100</v>
      </c>
    </row>
    <row r="125" spans="1:10" ht="12.75">
      <c r="A125" s="1">
        <v>1951</v>
      </c>
      <c r="B125" s="43">
        <f aca="true" t="shared" si="29" ref="B125:B179">+B124*(1+B62/100)</f>
        <v>101.2</v>
      </c>
      <c r="C125" s="43">
        <f aca="true" t="shared" si="30" ref="C125:G140">+C124*(1+C62/100)</f>
        <v>96.44992563346351</v>
      </c>
      <c r="D125" s="43">
        <f t="shared" si="30"/>
        <v>99.65062156522478</v>
      </c>
      <c r="E125" s="43">
        <f t="shared" si="30"/>
        <v>96.68480052851969</v>
      </c>
      <c r="F125" s="43">
        <f t="shared" si="30"/>
        <v>95.82041817183124</v>
      </c>
      <c r="G125" s="43">
        <f t="shared" si="30"/>
        <v>100</v>
      </c>
      <c r="H125" s="5"/>
      <c r="J125" s="43">
        <f aca="true" t="shared" si="31" ref="J125:J179">+J124*(1+J62/100)</f>
        <v>108.5</v>
      </c>
    </row>
    <row r="126" spans="1:10" ht="12.75">
      <c r="A126" s="1">
        <v>1952</v>
      </c>
      <c r="B126" s="43">
        <f t="shared" si="29"/>
        <v>98.5688</v>
      </c>
      <c r="C126" s="43">
        <f t="shared" si="30"/>
        <v>92.61325931222835</v>
      </c>
      <c r="D126" s="43">
        <f t="shared" si="30"/>
        <v>104.48619327340224</v>
      </c>
      <c r="E126" s="43">
        <f t="shared" si="30"/>
        <v>93.09324527570517</v>
      </c>
      <c r="F126" s="43">
        <f t="shared" si="30"/>
        <v>91.83381984487056</v>
      </c>
      <c r="G126" s="43">
        <f t="shared" si="30"/>
        <v>100</v>
      </c>
      <c r="H126" s="5"/>
      <c r="J126" s="43">
        <f t="shared" si="31"/>
        <v>108.3915</v>
      </c>
    </row>
    <row r="127" spans="1:10" ht="12.75">
      <c r="A127" s="1">
        <v>1953</v>
      </c>
      <c r="B127" s="43">
        <f t="shared" si="29"/>
        <v>105.468616</v>
      </c>
      <c r="C127" s="43">
        <f t="shared" si="30"/>
        <v>102.3200277259011</v>
      </c>
      <c r="D127" s="43">
        <f t="shared" si="30"/>
        <v>109.70058119898663</v>
      </c>
      <c r="E127" s="43">
        <f t="shared" si="30"/>
        <v>102.20478732695874</v>
      </c>
      <c r="F127" s="43">
        <f t="shared" si="30"/>
        <v>100.34507766101811</v>
      </c>
      <c r="G127" s="43">
        <f t="shared" si="30"/>
        <v>100</v>
      </c>
      <c r="H127" s="5"/>
      <c r="J127" s="43">
        <f t="shared" si="31"/>
        <v>134.622243</v>
      </c>
    </row>
    <row r="128" spans="1:10" ht="12.75">
      <c r="A128" s="1">
        <v>1954</v>
      </c>
      <c r="B128" s="43">
        <f t="shared" si="29"/>
        <v>116.54282067999999</v>
      </c>
      <c r="C128" s="43">
        <f t="shared" si="30"/>
        <v>114.36217803642938</v>
      </c>
      <c r="D128" s="43">
        <f t="shared" si="30"/>
        <v>114.92213870931127</v>
      </c>
      <c r="E128" s="43">
        <f t="shared" si="30"/>
        <v>113.43755683136963</v>
      </c>
      <c r="F128" s="43">
        <f t="shared" si="30"/>
        <v>111.71107877182318</v>
      </c>
      <c r="G128" s="43">
        <f t="shared" si="30"/>
        <v>100</v>
      </c>
      <c r="H128" s="5"/>
      <c r="J128" s="43">
        <f t="shared" si="31"/>
        <v>200.048653098</v>
      </c>
    </row>
    <row r="129" spans="1:10" ht="12.75">
      <c r="A129" s="1">
        <v>1955</v>
      </c>
      <c r="B129" s="43">
        <f t="shared" si="29"/>
        <v>117.35862042475998</v>
      </c>
      <c r="C129" s="43">
        <f t="shared" si="30"/>
        <v>111.09886386753719</v>
      </c>
      <c r="D129" s="43">
        <f t="shared" si="30"/>
        <v>118.28268950378629</v>
      </c>
      <c r="E129" s="43">
        <f t="shared" si="30"/>
        <v>110.41478374503352</v>
      </c>
      <c r="F129" s="43">
        <f t="shared" si="30"/>
        <v>107.99733333407549</v>
      </c>
      <c r="G129" s="43">
        <f t="shared" si="30"/>
        <v>100</v>
      </c>
      <c r="H129" s="5"/>
      <c r="J129" s="43">
        <f t="shared" si="31"/>
        <v>221.853956285682</v>
      </c>
    </row>
    <row r="130" spans="1:10" ht="12.75">
      <c r="A130" s="1">
        <v>1956</v>
      </c>
      <c r="B130" s="43">
        <f t="shared" si="29"/>
        <v>124.51749627067034</v>
      </c>
      <c r="C130" s="43">
        <f t="shared" si="30"/>
        <v>120.05126133689664</v>
      </c>
      <c r="D130" s="43">
        <f t="shared" si="30"/>
        <v>128.29236140498696</v>
      </c>
      <c r="E130" s="43">
        <f t="shared" si="30"/>
        <v>118.72340912782757</v>
      </c>
      <c r="F130" s="43">
        <f t="shared" si="30"/>
        <v>115.96301239634684</v>
      </c>
      <c r="G130" s="43">
        <f t="shared" si="30"/>
        <v>100</v>
      </c>
      <c r="H130" s="5"/>
      <c r="J130" s="43">
        <f t="shared" si="31"/>
        <v>201.8871002199706</v>
      </c>
    </row>
    <row r="131" spans="1:10" ht="12.75">
      <c r="A131" s="1">
        <v>1957</v>
      </c>
      <c r="B131" s="43">
        <f t="shared" si="29"/>
        <v>127.75495117370777</v>
      </c>
      <c r="C131" s="43">
        <f t="shared" si="30"/>
        <v>121.64901896599666</v>
      </c>
      <c r="D131" s="43">
        <f t="shared" si="30"/>
        <v>130.22013169431474</v>
      </c>
      <c r="E131" s="43">
        <f t="shared" si="30"/>
        <v>120.19895510069878</v>
      </c>
      <c r="F131" s="43">
        <f t="shared" si="30"/>
        <v>117.31132262720541</v>
      </c>
      <c r="G131" s="43">
        <f t="shared" si="30"/>
        <v>100</v>
      </c>
      <c r="H131" s="5"/>
      <c r="J131" s="43">
        <f t="shared" si="31"/>
        <v>199.6663421175509</v>
      </c>
    </row>
    <row r="132" spans="1:10" ht="12.75">
      <c r="A132" s="1">
        <v>1958</v>
      </c>
      <c r="B132" s="43">
        <f t="shared" si="29"/>
        <v>138.1031022187781</v>
      </c>
      <c r="C132" s="43">
        <f t="shared" si="30"/>
        <v>133.92864322504835</v>
      </c>
      <c r="D132" s="43">
        <f t="shared" si="30"/>
        <v>140.05404220115474</v>
      </c>
      <c r="E132" s="43">
        <f t="shared" si="30"/>
        <v>131.52946288080113</v>
      </c>
      <c r="F132" s="43">
        <f t="shared" si="30"/>
        <v>128.33792650022414</v>
      </c>
      <c r="G132" s="43">
        <f t="shared" si="30"/>
        <v>100</v>
      </c>
      <c r="H132" s="5"/>
      <c r="J132" s="43">
        <f t="shared" si="31"/>
        <v>295.3065199918578</v>
      </c>
    </row>
    <row r="133" spans="1:10" ht="12.75">
      <c r="A133" s="1">
        <v>1959</v>
      </c>
      <c r="B133" s="43">
        <f t="shared" si="29"/>
        <v>153.43254656506247</v>
      </c>
      <c r="C133" s="43">
        <f t="shared" si="30"/>
        <v>150.25160281034545</v>
      </c>
      <c r="D133" s="43">
        <f t="shared" si="30"/>
        <v>150.45113831815019</v>
      </c>
      <c r="E133" s="43">
        <f t="shared" si="30"/>
        <v>146.49942483326103</v>
      </c>
      <c r="F133" s="43">
        <f t="shared" si="30"/>
        <v>143.21598614834286</v>
      </c>
      <c r="G133" s="43">
        <f t="shared" si="30"/>
        <v>100</v>
      </c>
      <c r="H133" s="5"/>
      <c r="J133" s="43">
        <f t="shared" si="31"/>
        <v>457.13449294739587</v>
      </c>
    </row>
    <row r="134" spans="1:10" ht="12.75">
      <c r="A134" s="1">
        <v>1960</v>
      </c>
      <c r="B134" s="43">
        <f t="shared" si="29"/>
        <v>168.4689361284386</v>
      </c>
      <c r="C134" s="43">
        <f t="shared" si="30"/>
        <v>164.26800173831458</v>
      </c>
      <c r="D134" s="43">
        <f t="shared" si="30"/>
        <v>163.90023286693818</v>
      </c>
      <c r="E134" s="43">
        <f t="shared" si="30"/>
        <v>159.2616225783635</v>
      </c>
      <c r="F134" s="43">
        <f t="shared" si="30"/>
        <v>156.81127970322902</v>
      </c>
      <c r="G134" s="43">
        <f t="shared" si="30"/>
        <v>100</v>
      </c>
      <c r="H134" s="5"/>
      <c r="J134" s="43">
        <f t="shared" si="31"/>
        <v>465.362913820449</v>
      </c>
    </row>
    <row r="135" spans="1:10" ht="12.75">
      <c r="A135" s="1">
        <v>1961</v>
      </c>
      <c r="B135" s="43">
        <f t="shared" si="29"/>
        <v>179.08247910453022</v>
      </c>
      <c r="C135" s="43">
        <f t="shared" si="30"/>
        <v>172.5321543325248</v>
      </c>
      <c r="D135" s="43">
        <f t="shared" si="30"/>
        <v>177.43304459586136</v>
      </c>
      <c r="E135" s="43">
        <f t="shared" si="30"/>
        <v>166.7438120797365</v>
      </c>
      <c r="F135" s="43">
        <f t="shared" si="30"/>
        <v>165.39369517881653</v>
      </c>
      <c r="G135" s="43">
        <f t="shared" si="30"/>
        <v>100</v>
      </c>
      <c r="H135" s="5"/>
      <c r="J135" s="43">
        <f t="shared" si="31"/>
        <v>473.2740833553966</v>
      </c>
    </row>
    <row r="136" spans="1:10" ht="12.75">
      <c r="A136" s="1">
        <v>1962</v>
      </c>
      <c r="B136" s="43">
        <f t="shared" si="29"/>
        <v>191.2600876836383</v>
      </c>
      <c r="C136" s="43">
        <f t="shared" si="30"/>
        <v>184.57714256900607</v>
      </c>
      <c r="D136" s="43">
        <f t="shared" si="30"/>
        <v>191.98352322777586</v>
      </c>
      <c r="E136" s="43">
        <f t="shared" si="30"/>
        <v>177.61453120887091</v>
      </c>
      <c r="F136" s="43">
        <f t="shared" si="30"/>
        <v>176.835847076725</v>
      </c>
      <c r="G136" s="43">
        <f t="shared" si="30"/>
        <v>100</v>
      </c>
      <c r="H136" s="5"/>
      <c r="J136" s="43">
        <f t="shared" si="31"/>
        <v>475.1671796888182</v>
      </c>
    </row>
    <row r="137" spans="1:10" ht="12.75">
      <c r="A137" s="1">
        <v>1963</v>
      </c>
      <c r="B137" s="43">
        <f t="shared" si="29"/>
        <v>210.95987671505304</v>
      </c>
      <c r="C137" s="43">
        <f aca="true" t="shared" si="32" ref="C137:C179">+C136*(1+C74/100)</f>
        <v>205.93106385474312</v>
      </c>
      <c r="D137" s="43">
        <f aca="true" t="shared" si="33" ref="D137:E179">+D136*(1+D74/100)</f>
        <v>208.70131632491464</v>
      </c>
      <c r="E137" s="43">
        <f t="shared" si="33"/>
        <v>196.80344654939398</v>
      </c>
      <c r="F137" s="43">
        <f aca="true" t="shared" si="34" ref="F137:G179">+F136*(1+F74/100)</f>
        <v>196.512220514372</v>
      </c>
      <c r="G137" s="43">
        <f t="shared" si="30"/>
        <v>100</v>
      </c>
      <c r="H137" s="5"/>
      <c r="J137" s="43">
        <f t="shared" si="31"/>
        <v>567.8247797281377</v>
      </c>
    </row>
    <row r="138" spans="1:10" ht="12.75">
      <c r="A138" s="1">
        <v>1964</v>
      </c>
      <c r="B138" s="43">
        <f t="shared" si="29"/>
        <v>228.46954648240245</v>
      </c>
      <c r="C138" s="43">
        <f t="shared" si="32"/>
        <v>221.52992556279366</v>
      </c>
      <c r="D138" s="43">
        <f t="shared" si="33"/>
        <v>224.3207107255415</v>
      </c>
      <c r="E138" s="43">
        <f t="shared" si="33"/>
        <v>210.72462364655172</v>
      </c>
      <c r="F138" s="43">
        <f t="shared" si="34"/>
        <v>211.89417026519592</v>
      </c>
      <c r="G138" s="43">
        <f t="shared" si="30"/>
        <v>100</v>
      </c>
      <c r="H138" s="5"/>
      <c r="J138" s="43">
        <f t="shared" si="31"/>
        <v>534.3231177241776</v>
      </c>
    </row>
    <row r="139" spans="1:10" ht="12.75">
      <c r="A139" s="1">
        <v>1965</v>
      </c>
      <c r="B139" s="43">
        <f t="shared" si="29"/>
        <v>239.20761516707535</v>
      </c>
      <c r="C139" s="43">
        <f t="shared" si="32"/>
        <v>229.05006028179332</v>
      </c>
      <c r="D139" s="43">
        <f t="shared" si="33"/>
        <v>240.05635556035978</v>
      </c>
      <c r="E139" s="43">
        <f t="shared" si="33"/>
        <v>217.40468913126844</v>
      </c>
      <c r="F139" s="43">
        <f t="shared" si="34"/>
        <v>220.05095034863444</v>
      </c>
      <c r="G139" s="43">
        <f t="shared" si="30"/>
        <v>100</v>
      </c>
      <c r="H139" s="5"/>
      <c r="J139" s="43">
        <f t="shared" si="31"/>
        <v>600.5791843219756</v>
      </c>
    </row>
    <row r="140" spans="1:10" ht="12.75">
      <c r="A140" s="1">
        <v>1966</v>
      </c>
      <c r="B140" s="43">
        <f t="shared" si="29"/>
        <v>246.62305123725466</v>
      </c>
      <c r="C140" s="43">
        <f t="shared" si="32"/>
        <v>234.8217513016762</v>
      </c>
      <c r="D140" s="43">
        <f t="shared" si="33"/>
        <v>252.93446744966724</v>
      </c>
      <c r="E140" s="43">
        <f t="shared" si="33"/>
        <v>222.5204917987585</v>
      </c>
      <c r="F140" s="43">
        <f t="shared" si="34"/>
        <v>225.4266890842308</v>
      </c>
      <c r="G140" s="43">
        <f t="shared" si="30"/>
        <v>100</v>
      </c>
      <c r="H140" s="5"/>
      <c r="J140" s="43">
        <f t="shared" si="31"/>
        <v>567.5473291842669</v>
      </c>
    </row>
    <row r="141" spans="1:10" ht="12.75">
      <c r="A141" s="1">
        <v>1967</v>
      </c>
      <c r="B141" s="43">
        <f t="shared" si="29"/>
        <v>266.1062722849978</v>
      </c>
      <c r="C141" s="43">
        <f t="shared" si="32"/>
        <v>257.4597076327558</v>
      </c>
      <c r="D141" s="43">
        <f t="shared" si="33"/>
        <v>270.0290470513517</v>
      </c>
      <c r="E141" s="43">
        <f t="shared" si="33"/>
        <v>242.55326711257626</v>
      </c>
      <c r="F141" s="43">
        <f t="shared" si="34"/>
        <v>245.79185816720343</v>
      </c>
      <c r="G141" s="43">
        <f t="shared" si="34"/>
        <v>100</v>
      </c>
      <c r="H141" s="5"/>
      <c r="J141" s="43">
        <f t="shared" si="31"/>
        <v>783.7828616034726</v>
      </c>
    </row>
    <row r="142" spans="1:10" ht="12.75">
      <c r="A142" s="1">
        <v>1968</v>
      </c>
      <c r="B142" s="43">
        <f t="shared" si="29"/>
        <v>322.7869082817023</v>
      </c>
      <c r="C142" s="43">
        <f t="shared" si="32"/>
        <v>324.8082184519734</v>
      </c>
      <c r="D142" s="43">
        <f t="shared" si="33"/>
        <v>307.5340277246418</v>
      </c>
      <c r="E142" s="43">
        <f t="shared" si="33"/>
        <v>301.80459231052095</v>
      </c>
      <c r="F142" s="43">
        <f t="shared" si="34"/>
        <v>308.6097592795595</v>
      </c>
      <c r="G142" s="43">
        <f t="shared" si="34"/>
        <v>117.79669191035491</v>
      </c>
      <c r="H142" s="5"/>
      <c r="J142" s="43">
        <f t="shared" si="31"/>
        <v>1110.6203148921206</v>
      </c>
    </row>
    <row r="143" spans="1:10" ht="12.75">
      <c r="A143" s="1">
        <v>1969</v>
      </c>
      <c r="B143" s="43">
        <f t="shared" si="29"/>
        <v>339.89461442063254</v>
      </c>
      <c r="C143" s="43">
        <f t="shared" si="32"/>
        <v>323.17892343439695</v>
      </c>
      <c r="D143" s="43">
        <f t="shared" si="33"/>
        <v>324.2267314477131</v>
      </c>
      <c r="E143" s="43">
        <f t="shared" si="33"/>
        <v>300.3908483013742</v>
      </c>
      <c r="F143" s="43">
        <f t="shared" si="34"/>
        <v>313.3000709334193</v>
      </c>
      <c r="G143" s="43">
        <f t="shared" si="34"/>
        <v>126.85902428763771</v>
      </c>
      <c r="H143" s="5"/>
      <c r="J143" s="43">
        <f t="shared" si="31"/>
        <v>980.6777380497425</v>
      </c>
    </row>
    <row r="144" spans="1:10" ht="12.75">
      <c r="A144" s="1">
        <v>1970</v>
      </c>
      <c r="B144" s="43">
        <f t="shared" si="29"/>
        <v>423.50868956810814</v>
      </c>
      <c r="C144" s="43">
        <f t="shared" si="32"/>
        <v>425.2976497872009</v>
      </c>
      <c r="D144" s="43">
        <f t="shared" si="33"/>
        <v>403.2441978732272</v>
      </c>
      <c r="E144" s="43">
        <f t="shared" si="33"/>
        <v>389.0291182315224</v>
      </c>
      <c r="F144" s="43">
        <f t="shared" si="34"/>
        <v>409.58302270984046</v>
      </c>
      <c r="G144" s="43">
        <f t="shared" si="34"/>
        <v>156.07855109144637</v>
      </c>
      <c r="H144" s="5"/>
      <c r="J144" s="43">
        <f t="shared" si="31"/>
        <v>962.0448610267974</v>
      </c>
    </row>
    <row r="145" spans="1:10" ht="12.75">
      <c r="A145" s="1">
        <v>1971</v>
      </c>
      <c r="B145" s="43">
        <f t="shared" si="29"/>
        <v>491.75135517383063</v>
      </c>
      <c r="C145" s="43">
        <f t="shared" si="32"/>
        <v>480.7414781998629</v>
      </c>
      <c r="D145" s="43">
        <f t="shared" si="33"/>
        <v>446.08338362784525</v>
      </c>
      <c r="E145" s="43">
        <f t="shared" si="33"/>
        <v>436.38942977922295</v>
      </c>
      <c r="F145" s="43">
        <f t="shared" si="34"/>
        <v>469.87115503018885</v>
      </c>
      <c r="G145" s="43">
        <f t="shared" si="34"/>
        <v>181.769386546479</v>
      </c>
      <c r="H145" s="5"/>
      <c r="J145" s="43">
        <f t="shared" si="31"/>
        <v>1409.3957214042582</v>
      </c>
    </row>
    <row r="146" spans="1:10" ht="12.75">
      <c r="A146" s="1">
        <v>1972</v>
      </c>
      <c r="B146" s="43">
        <f t="shared" si="29"/>
        <v>636.333777390671</v>
      </c>
      <c r="C146" s="43">
        <f t="shared" si="32"/>
        <v>645.2499307993593</v>
      </c>
      <c r="D146" s="43">
        <f t="shared" si="33"/>
        <v>571.3920503142703</v>
      </c>
      <c r="E146" s="43">
        <f t="shared" si="33"/>
        <v>575.8408877407918</v>
      </c>
      <c r="F146" s="43">
        <f t="shared" si="34"/>
        <v>640.3437402150604</v>
      </c>
      <c r="G146" s="43">
        <f t="shared" si="34"/>
        <v>241.4546770563394</v>
      </c>
      <c r="H146" s="5"/>
      <c r="J146" s="43">
        <f t="shared" si="31"/>
        <v>1640.5366197145565</v>
      </c>
    </row>
    <row r="147" spans="1:10" ht="12.75">
      <c r="A147" s="1">
        <v>1973</v>
      </c>
      <c r="B147" s="43">
        <f t="shared" si="29"/>
        <v>817.381681999288</v>
      </c>
      <c r="C147" s="43">
        <f t="shared" si="32"/>
        <v>826.6123797912702</v>
      </c>
      <c r="D147" s="43">
        <f t="shared" si="33"/>
        <v>701.4684298112103</v>
      </c>
      <c r="E147" s="43">
        <f t="shared" si="33"/>
        <v>726.9860035012639</v>
      </c>
      <c r="F147" s="43">
        <f t="shared" si="34"/>
        <v>819.3838540834369</v>
      </c>
      <c r="G147" s="43">
        <f t="shared" si="34"/>
        <v>309.32122535313425</v>
      </c>
      <c r="H147" s="5"/>
      <c r="J147" s="43">
        <f t="shared" si="31"/>
        <v>1179.545829574766</v>
      </c>
    </row>
    <row r="148" spans="1:10" ht="12.75">
      <c r="A148" s="1">
        <v>1974</v>
      </c>
      <c r="B148" s="43">
        <f t="shared" si="29"/>
        <v>687.0325990983386</v>
      </c>
      <c r="C148" s="43">
        <f t="shared" si="32"/>
        <v>561.7142840058036</v>
      </c>
      <c r="D148" s="43">
        <f t="shared" si="33"/>
        <v>714.0288983654938</v>
      </c>
      <c r="E148" s="43">
        <f t="shared" si="33"/>
        <v>509.42793496494426</v>
      </c>
      <c r="F148" s="43">
        <f t="shared" si="34"/>
        <v>455.0371271923422</v>
      </c>
      <c r="G148" s="43">
        <f t="shared" si="34"/>
        <v>138.64176845501126</v>
      </c>
      <c r="H148" s="5"/>
      <c r="J148" s="43">
        <f t="shared" si="31"/>
        <v>588.5933689578083</v>
      </c>
    </row>
    <row r="149" spans="1:10" ht="12.75">
      <c r="A149" s="1">
        <v>1975</v>
      </c>
      <c r="B149" s="43">
        <f t="shared" si="29"/>
        <v>765.2963298441852</v>
      </c>
      <c r="C149" s="43">
        <f t="shared" si="32"/>
        <v>681.3853003389729</v>
      </c>
      <c r="D149" s="43">
        <f t="shared" si="33"/>
        <v>863.7941975446234</v>
      </c>
      <c r="E149" s="43">
        <f t="shared" si="33"/>
        <v>610.7790384606723</v>
      </c>
      <c r="F149" s="43">
        <f t="shared" si="34"/>
        <v>527.3111856482114</v>
      </c>
      <c r="G149" s="43">
        <f t="shared" si="34"/>
        <v>156.59800636253507</v>
      </c>
      <c r="H149" s="5"/>
      <c r="J149" s="43">
        <f t="shared" si="31"/>
        <v>1467.3632688118162</v>
      </c>
    </row>
    <row r="150" spans="1:10" ht="12.75">
      <c r="A150" s="1">
        <v>1976</v>
      </c>
      <c r="B150" s="43">
        <f t="shared" si="29"/>
        <v>837.4555850777625</v>
      </c>
      <c r="C150" s="43">
        <f t="shared" si="32"/>
        <v>740.783552648967</v>
      </c>
      <c r="D150" s="43">
        <f t="shared" si="33"/>
        <v>844.2026595109631</v>
      </c>
      <c r="E150" s="43">
        <f t="shared" si="33"/>
        <v>660.499739609999</v>
      </c>
      <c r="F150" s="43">
        <f t="shared" si="34"/>
        <v>574.5858807203986</v>
      </c>
      <c r="G150" s="43">
        <f t="shared" si="34"/>
        <v>171.277245624382</v>
      </c>
      <c r="H150" s="5"/>
      <c r="J150" s="43">
        <f t="shared" si="31"/>
        <v>1501.1126239944879</v>
      </c>
    </row>
    <row r="151" spans="1:10" ht="12.75">
      <c r="A151" s="1">
        <v>1977</v>
      </c>
      <c r="B151" s="43">
        <f t="shared" si="29"/>
        <v>1059.3881822591673</v>
      </c>
      <c r="C151" s="43">
        <f t="shared" si="32"/>
        <v>982.9538893459293</v>
      </c>
      <c r="D151" s="43">
        <f t="shared" si="33"/>
        <v>1019.3034682403015</v>
      </c>
      <c r="E151" s="43">
        <f t="shared" si="33"/>
        <v>862.1387135502737</v>
      </c>
      <c r="F151" s="43">
        <f t="shared" si="34"/>
        <v>777.6387068452558</v>
      </c>
      <c r="G151" s="43">
        <f t="shared" si="34"/>
        <v>216.87618105209515</v>
      </c>
      <c r="H151" s="5"/>
      <c r="J151" s="43">
        <f t="shared" si="31"/>
        <v>2230.653359255809</v>
      </c>
    </row>
    <row r="152" spans="1:10" ht="12.75">
      <c r="A152" s="1">
        <v>1978</v>
      </c>
      <c r="B152" s="43">
        <f t="shared" si="29"/>
        <v>1331.3912890563015</v>
      </c>
      <c r="C152" s="43">
        <f t="shared" si="32"/>
        <v>1232.3904744173471</v>
      </c>
      <c r="D152" s="43">
        <f t="shared" si="33"/>
        <v>1204.9715541339278</v>
      </c>
      <c r="E152" s="43">
        <f t="shared" si="33"/>
        <v>1066.4424774032611</v>
      </c>
      <c r="F152" s="43">
        <f t="shared" si="34"/>
        <v>973.9785939802316</v>
      </c>
      <c r="G152" s="43">
        <f t="shared" si="34"/>
        <v>272.591834955947</v>
      </c>
      <c r="H152" s="5"/>
      <c r="J152" s="43">
        <f t="shared" si="31"/>
        <v>2422.489548151809</v>
      </c>
    </row>
    <row r="153" spans="1:10" ht="12.75">
      <c r="A153" s="1">
        <v>1979</v>
      </c>
      <c r="B153" s="43">
        <f t="shared" si="29"/>
        <v>1640.278727986875</v>
      </c>
      <c r="C153" s="43">
        <f t="shared" si="32"/>
        <v>1507.248815331521</v>
      </c>
      <c r="D153" s="43">
        <f t="shared" si="33"/>
        <v>1500.6868650253302</v>
      </c>
      <c r="E153" s="43">
        <f t="shared" si="33"/>
        <v>1288.5535640067653</v>
      </c>
      <c r="F153" s="43">
        <f t="shared" si="34"/>
        <v>1192.2858194761448</v>
      </c>
      <c r="G153" s="43">
        <f t="shared" si="34"/>
        <v>335.37802738433925</v>
      </c>
      <c r="H153" s="5"/>
      <c r="J153" s="43">
        <f t="shared" si="31"/>
        <v>2701.075846189267</v>
      </c>
    </row>
    <row r="154" spans="1:10" ht="12.75">
      <c r="A154" s="1">
        <v>1980</v>
      </c>
      <c r="B154" s="43">
        <f t="shared" si="29"/>
        <v>1927.5033432642185</v>
      </c>
      <c r="C154" s="43">
        <f t="shared" si="32"/>
        <v>1740.0833960716627</v>
      </c>
      <c r="D154" s="43">
        <f t="shared" si="33"/>
        <v>1813.6784104942537</v>
      </c>
      <c r="E154" s="43">
        <f t="shared" si="33"/>
        <v>1474.4355147536887</v>
      </c>
      <c r="F154" s="43">
        <f t="shared" si="34"/>
        <v>1389.918579454434</v>
      </c>
      <c r="G154" s="43">
        <f t="shared" si="34"/>
        <v>391.58146408028574</v>
      </c>
      <c r="H154" s="5"/>
      <c r="J154" s="43">
        <f t="shared" si="31"/>
        <v>3641.0502406631313</v>
      </c>
    </row>
    <row r="155" spans="1:10" ht="12.75">
      <c r="A155" s="1">
        <v>1981</v>
      </c>
      <c r="B155" s="43">
        <f t="shared" si="29"/>
        <v>2216.959218826887</v>
      </c>
      <c r="C155" s="43">
        <f t="shared" si="32"/>
        <v>1985.6607594678328</v>
      </c>
      <c r="D155" s="43">
        <f t="shared" si="33"/>
        <v>2150.706426712851</v>
      </c>
      <c r="E155" s="43">
        <f t="shared" si="33"/>
        <v>1668.7549619542565</v>
      </c>
      <c r="F155" s="43">
        <f t="shared" si="34"/>
        <v>1592.9504193488685</v>
      </c>
      <c r="G155" s="43">
        <f t="shared" si="34"/>
        <v>448.9309467929581</v>
      </c>
      <c r="H155" s="5"/>
      <c r="J155" s="43">
        <f t="shared" si="31"/>
        <v>4136.233073393318</v>
      </c>
    </row>
    <row r="156" spans="1:10" ht="12.75">
      <c r="A156" s="1">
        <v>1982</v>
      </c>
      <c r="B156" s="43">
        <f t="shared" si="29"/>
        <v>2383.902898882208</v>
      </c>
      <c r="C156" s="43">
        <f t="shared" si="32"/>
        <v>2081.281516325808</v>
      </c>
      <c r="D156" s="43">
        <f t="shared" si="33"/>
        <v>2399.8660706640353</v>
      </c>
      <c r="E156" s="43">
        <f t="shared" si="33"/>
        <v>1743.7982591291318</v>
      </c>
      <c r="F156" s="43">
        <f t="shared" si="34"/>
        <v>1684.7274555924214</v>
      </c>
      <c r="G156" s="43">
        <f t="shared" si="34"/>
        <v>478.05619869598223</v>
      </c>
      <c r="H156" s="5"/>
      <c r="J156" s="43">
        <f t="shared" si="31"/>
        <v>5315.059499310413</v>
      </c>
    </row>
    <row r="157" spans="1:10" ht="12.75">
      <c r="A157" s="1">
        <v>1983</v>
      </c>
      <c r="B157" s="43">
        <f t="shared" si="29"/>
        <v>2564.713351711988</v>
      </c>
      <c r="C157" s="43">
        <f t="shared" si="32"/>
        <v>2239.5493170991017</v>
      </c>
      <c r="D157" s="43">
        <f t="shared" si="33"/>
        <v>2663.280872350132</v>
      </c>
      <c r="E157" s="43">
        <f t="shared" si="33"/>
        <v>1867.6294911597827</v>
      </c>
      <c r="F157" s="43">
        <f t="shared" si="34"/>
        <v>1812.7242607639587</v>
      </c>
      <c r="G157" s="43">
        <f t="shared" si="34"/>
        <v>514.3431378235749</v>
      </c>
      <c r="H157" s="5"/>
      <c r="J157" s="43">
        <f t="shared" si="31"/>
        <v>6845.796635111812</v>
      </c>
    </row>
    <row r="158" spans="1:10" ht="12.75">
      <c r="A158" s="1">
        <v>1984</v>
      </c>
      <c r="B158" s="43">
        <f t="shared" si="29"/>
        <v>2791.802304840633</v>
      </c>
      <c r="C158" s="43">
        <f t="shared" si="32"/>
        <v>2448.158002824455</v>
      </c>
      <c r="D158" s="43">
        <f t="shared" si="33"/>
        <v>2885.2575321853733</v>
      </c>
      <c r="E158" s="43">
        <f t="shared" si="33"/>
        <v>2030.0850937395608</v>
      </c>
      <c r="F158" s="43">
        <f t="shared" si="34"/>
        <v>1978.6673055465303</v>
      </c>
      <c r="G158" s="43">
        <f t="shared" si="34"/>
        <v>560.6394122224318</v>
      </c>
      <c r="H158" s="5"/>
      <c r="J158" s="43">
        <f t="shared" si="31"/>
        <v>9009.068371807145</v>
      </c>
    </row>
    <row r="159" spans="1:10" ht="12.75">
      <c r="A159" s="1">
        <v>1985</v>
      </c>
      <c r="B159" s="43">
        <f t="shared" si="29"/>
        <v>3024.2474855614337</v>
      </c>
      <c r="C159" s="43">
        <f t="shared" si="32"/>
        <v>2647.301027595299</v>
      </c>
      <c r="D159" s="43">
        <f t="shared" si="33"/>
        <v>3114.726174405483</v>
      </c>
      <c r="E159" s="43">
        <f t="shared" si="33"/>
        <v>2184.294942743864</v>
      </c>
      <c r="F159" s="43">
        <f t="shared" si="34"/>
        <v>2140.9409104730285</v>
      </c>
      <c r="G159" s="43">
        <f t="shared" si="34"/>
        <v>606.9594944259472</v>
      </c>
      <c r="H159" s="5"/>
      <c r="J159" s="43">
        <f t="shared" si="31"/>
        <v>10828.900182912188</v>
      </c>
    </row>
    <row r="160" spans="1:10" ht="12.75">
      <c r="A160" s="1">
        <v>1986</v>
      </c>
      <c r="B160" s="43">
        <f t="shared" si="29"/>
        <v>3366.4740528503025</v>
      </c>
      <c r="C160" s="43">
        <f t="shared" si="32"/>
        <v>2975.574390613195</v>
      </c>
      <c r="D160" s="43">
        <f t="shared" si="33"/>
        <v>3438.3937614766664</v>
      </c>
      <c r="E160" s="43">
        <f t="shared" si="33"/>
        <v>2437.233950275205</v>
      </c>
      <c r="F160" s="43">
        <f t="shared" si="34"/>
        <v>2393.7291218125097</v>
      </c>
      <c r="G160" s="43">
        <f t="shared" si="34"/>
        <v>677.6468208651978</v>
      </c>
      <c r="H160" s="5"/>
      <c r="J160" s="43">
        <f t="shared" si="31"/>
        <v>13785.189932847217</v>
      </c>
    </row>
    <row r="161" spans="1:10" ht="12.75">
      <c r="A161" s="1">
        <v>1987</v>
      </c>
      <c r="B161" s="43">
        <f t="shared" si="29"/>
        <v>4243.216673093291</v>
      </c>
      <c r="C161" s="43">
        <f t="shared" si="32"/>
        <v>3909.412905479497</v>
      </c>
      <c r="D161" s="43">
        <f t="shared" si="33"/>
        <v>4089.635747933983</v>
      </c>
      <c r="E161" s="43">
        <f t="shared" si="33"/>
        <v>3151.517095818233</v>
      </c>
      <c r="F161" s="43">
        <f t="shared" si="34"/>
        <v>3199.64253469958</v>
      </c>
      <c r="G161" s="43">
        <f t="shared" si="34"/>
        <v>861.0113047808717</v>
      </c>
      <c r="H161" s="5"/>
      <c r="J161" s="43">
        <f t="shared" si="31"/>
        <v>14891.062918329595</v>
      </c>
    </row>
    <row r="162" spans="1:10" ht="12.75">
      <c r="A162" s="1">
        <v>1988</v>
      </c>
      <c r="B162" s="43">
        <f t="shared" si="29"/>
        <v>5498.7191411248305</v>
      </c>
      <c r="C162" s="43">
        <f t="shared" si="32"/>
        <v>5116.401948640255</v>
      </c>
      <c r="D162" s="43">
        <f t="shared" si="33"/>
        <v>4968.642292179858</v>
      </c>
      <c r="E162" s="43">
        <f t="shared" si="33"/>
        <v>4060.1399715303355</v>
      </c>
      <c r="F162" s="43">
        <f t="shared" si="34"/>
        <v>4205.090961034088</v>
      </c>
      <c r="G162" s="43">
        <f t="shared" si="34"/>
        <v>1116.2394416068864</v>
      </c>
      <c r="H162" s="5"/>
      <c r="J162" s="43">
        <f t="shared" si="31"/>
        <v>16610.96512304981</v>
      </c>
    </row>
    <row r="163" spans="1:10" ht="12.75">
      <c r="A163" s="1">
        <v>1989</v>
      </c>
      <c r="B163" s="43">
        <f t="shared" si="29"/>
        <v>6346.987847381078</v>
      </c>
      <c r="C163" s="43">
        <f t="shared" si="32"/>
        <v>5642.9603328547655</v>
      </c>
      <c r="D163" s="43">
        <f t="shared" si="33"/>
        <v>5929.097696118266</v>
      </c>
      <c r="E163" s="43">
        <f t="shared" si="33"/>
        <v>4450.347007768193</v>
      </c>
      <c r="F163" s="43">
        <f t="shared" si="34"/>
        <v>4755.956978613481</v>
      </c>
      <c r="G163" s="43">
        <f t="shared" si="34"/>
        <v>1271.2809231463928</v>
      </c>
      <c r="H163" s="5"/>
      <c r="J163" s="43">
        <f t="shared" si="31"/>
        <v>22604.466530248636</v>
      </c>
    </row>
    <row r="164" spans="1:10" ht="12.75">
      <c r="A164" s="1">
        <v>1990</v>
      </c>
      <c r="B164" s="43">
        <f t="shared" si="29"/>
        <v>5810.502352593345</v>
      </c>
      <c r="C164" s="43">
        <f t="shared" si="32"/>
        <v>4677.379516294319</v>
      </c>
      <c r="D164" s="43">
        <f t="shared" si="33"/>
        <v>6362.513096538307</v>
      </c>
      <c r="E164" s="43">
        <f t="shared" si="33"/>
        <v>3739.219102689005</v>
      </c>
      <c r="F164" s="43">
        <f t="shared" si="34"/>
        <v>3624.4673008581703</v>
      </c>
      <c r="G164" s="43">
        <f t="shared" si="34"/>
        <v>1122.766286815431</v>
      </c>
      <c r="H164" s="5"/>
      <c r="J164" s="43">
        <f t="shared" si="31"/>
        <v>20403.4985359894</v>
      </c>
    </row>
    <row r="165" spans="1:10" ht="12.75">
      <c r="A165" s="1">
        <v>1991</v>
      </c>
      <c r="B165" s="43">
        <f t="shared" si="29"/>
        <v>5628.4134109180095</v>
      </c>
      <c r="C165" s="43">
        <f t="shared" si="32"/>
        <v>4621.008502603043</v>
      </c>
      <c r="D165" s="43">
        <f t="shared" si="33"/>
        <v>6723.788209689667</v>
      </c>
      <c r="E165" s="43">
        <f t="shared" si="33"/>
        <v>3697.1361346058143</v>
      </c>
      <c r="F165" s="43">
        <f t="shared" si="34"/>
        <v>3590.0495935028425</v>
      </c>
      <c r="G165" s="43">
        <f t="shared" si="34"/>
        <v>1098.5592883345444</v>
      </c>
      <c r="H165" s="5"/>
      <c r="J165" s="43">
        <f t="shared" si="31"/>
        <v>24636.651409299444</v>
      </c>
    </row>
    <row r="166" spans="1:10" ht="12.75">
      <c r="A166" s="1">
        <v>1992</v>
      </c>
      <c r="B166" s="43">
        <f t="shared" si="29"/>
        <v>5534.272005365654</v>
      </c>
      <c r="C166" s="43">
        <f t="shared" si="32"/>
        <v>4568.200332326108</v>
      </c>
      <c r="D166" s="43">
        <f t="shared" si="33"/>
        <v>6410.014629483852</v>
      </c>
      <c r="E166" s="43">
        <f t="shared" si="33"/>
        <v>3657.681138161313</v>
      </c>
      <c r="F166" s="43">
        <f t="shared" si="34"/>
        <v>3551.543835233815</v>
      </c>
      <c r="G166" s="43">
        <f t="shared" si="34"/>
        <v>1086.0834023491427</v>
      </c>
      <c r="H166" s="5"/>
      <c r="J166" s="43">
        <f t="shared" si="31"/>
        <v>29680.386994108703</v>
      </c>
    </row>
    <row r="167" spans="1:10" ht="12.75">
      <c r="A167" s="1">
        <v>1993</v>
      </c>
      <c r="B167" s="43">
        <f t="shared" si="29"/>
        <v>6655.331222394957</v>
      </c>
      <c r="C167" s="43">
        <f t="shared" si="32"/>
        <v>5856.809747221383</v>
      </c>
      <c r="D167" s="43">
        <f t="shared" si="33"/>
        <v>7117.90538936573</v>
      </c>
      <c r="E167" s="43">
        <f t="shared" si="33"/>
        <v>4621.186676941935</v>
      </c>
      <c r="F167" s="43">
        <f t="shared" si="34"/>
        <v>4518.41225358653</v>
      </c>
      <c r="G167" s="43">
        <f t="shared" si="34"/>
        <v>1423.3284589634616</v>
      </c>
      <c r="H167" s="5"/>
      <c r="J167" s="43">
        <f t="shared" si="31"/>
        <v>38122.839238137116</v>
      </c>
    </row>
    <row r="168" spans="1:10" ht="12.75">
      <c r="A168" s="1">
        <v>1994</v>
      </c>
      <c r="B168" s="43">
        <f t="shared" si="29"/>
        <v>7447.665042749132</v>
      </c>
      <c r="C168" s="43">
        <f t="shared" si="32"/>
        <v>6376.719682593395</v>
      </c>
      <c r="D168" s="43">
        <f t="shared" si="33"/>
        <v>7485.483281088123</v>
      </c>
      <c r="E168" s="43">
        <f t="shared" si="33"/>
        <v>5004.269541751914</v>
      </c>
      <c r="F168" s="43">
        <f t="shared" si="34"/>
        <v>4994.344390973794</v>
      </c>
      <c r="G168" s="43">
        <f t="shared" si="34"/>
        <v>1561.0834362083351</v>
      </c>
      <c r="H168" s="5"/>
      <c r="J168" s="43">
        <f t="shared" si="31"/>
        <v>35886.22505750548</v>
      </c>
    </row>
    <row r="169" spans="1:10" ht="12.75">
      <c r="A169" s="1">
        <v>1995</v>
      </c>
      <c r="B169" s="43">
        <f t="shared" si="29"/>
        <v>7715.2522000700665</v>
      </c>
      <c r="C169" s="43">
        <f t="shared" si="32"/>
        <v>6413.630226021967</v>
      </c>
      <c r="D169" s="43">
        <f t="shared" si="33"/>
        <v>8281.906902487784</v>
      </c>
      <c r="E169" s="43">
        <f t="shared" si="33"/>
        <v>5031.319463982109</v>
      </c>
      <c r="F169" s="43">
        <f t="shared" si="34"/>
        <v>5003.3037987156795</v>
      </c>
      <c r="G169" s="43">
        <f t="shared" si="34"/>
        <v>1510.4345300798964</v>
      </c>
      <c r="H169" s="5"/>
      <c r="J169" s="43">
        <f t="shared" si="31"/>
        <v>44430.71056686268</v>
      </c>
    </row>
    <row r="170" spans="1:10" ht="12.75">
      <c r="A170" s="1">
        <v>1996</v>
      </c>
      <c r="B170" s="43">
        <f t="shared" si="29"/>
        <v>8494.2442411563</v>
      </c>
      <c r="C170" s="43">
        <f t="shared" si="32"/>
        <v>7212.453900812349</v>
      </c>
      <c r="D170" s="43">
        <f t="shared" si="33"/>
        <v>9221.978706463584</v>
      </c>
      <c r="E170" s="43">
        <f t="shared" si="33"/>
        <v>5616.515152590589</v>
      </c>
      <c r="F170" s="43">
        <f t="shared" si="34"/>
        <v>5585.357891436661</v>
      </c>
      <c r="G170" s="43">
        <f t="shared" si="34"/>
        <v>1762.7321306818435</v>
      </c>
      <c r="H170" s="5"/>
      <c r="J170" s="43">
        <f t="shared" si="31"/>
        <v>51846.321311183034</v>
      </c>
    </row>
    <row r="171" spans="1:10" ht="12.75">
      <c r="A171" s="1">
        <v>1997</v>
      </c>
      <c r="B171" s="43">
        <f t="shared" si="29"/>
        <v>9931.960484652662</v>
      </c>
      <c r="C171" s="43">
        <f t="shared" si="32"/>
        <v>8611.81198977271</v>
      </c>
      <c r="D171" s="43">
        <f t="shared" si="33"/>
        <v>10264.00881363856</v>
      </c>
      <c r="E171" s="43">
        <f t="shared" si="33"/>
        <v>6634.133575731804</v>
      </c>
      <c r="F171" s="43">
        <f t="shared" si="34"/>
        <v>6593.387850746163</v>
      </c>
      <c r="G171" s="43">
        <f t="shared" si="34"/>
        <v>2183.1533937996796</v>
      </c>
      <c r="H171" s="5"/>
      <c r="J171" s="43">
        <f t="shared" si="31"/>
        <v>64053.52607599886</v>
      </c>
    </row>
    <row r="172" spans="1:10" ht="12.75">
      <c r="A172" s="1">
        <v>1998</v>
      </c>
      <c r="B172" s="43">
        <f t="shared" si="29"/>
        <v>11097.820686555468</v>
      </c>
      <c r="C172" s="43">
        <f t="shared" si="32"/>
        <v>9460.725604973077</v>
      </c>
      <c r="D172" s="43">
        <f t="shared" si="33"/>
        <v>11356.85493621714</v>
      </c>
      <c r="E172" s="43">
        <f t="shared" si="33"/>
        <v>7244.830010431978</v>
      </c>
      <c r="F172" s="43">
        <f t="shared" si="34"/>
        <v>7311.159487934813</v>
      </c>
      <c r="G172" s="43">
        <f t="shared" si="34"/>
        <v>2304.552053468025</v>
      </c>
      <c r="H172" s="5"/>
      <c r="J172" s="43">
        <f t="shared" si="31"/>
        <v>72869.04352542739</v>
      </c>
    </row>
    <row r="173" spans="1:10" ht="12.75">
      <c r="A173" s="1">
        <v>1999</v>
      </c>
      <c r="B173" s="43">
        <f t="shared" si="29"/>
        <v>12725.361591303643</v>
      </c>
      <c r="C173" s="43">
        <f t="shared" si="32"/>
        <v>10948.587587308608</v>
      </c>
      <c r="D173" s="43">
        <f t="shared" si="33"/>
        <v>13161.364894299428</v>
      </c>
      <c r="E173" s="43">
        <f t="shared" si="33"/>
        <v>8308.822626236737</v>
      </c>
      <c r="F173" s="43">
        <f t="shared" si="34"/>
        <v>8418.528546834586</v>
      </c>
      <c r="G173" s="43">
        <f t="shared" si="34"/>
        <v>2708.015499790707</v>
      </c>
      <c r="H173" s="5"/>
      <c r="J173" s="43">
        <f t="shared" si="31"/>
        <v>90504.88091392552</v>
      </c>
    </row>
    <row r="174" spans="1:10" ht="12.75">
      <c r="A174" s="1">
        <v>2000</v>
      </c>
      <c r="B174" s="43">
        <f t="shared" si="29"/>
        <v>14059.955521306318</v>
      </c>
      <c r="C174" s="43">
        <f t="shared" si="32"/>
        <v>11930.984304035015</v>
      </c>
      <c r="D174" s="43">
        <f t="shared" si="33"/>
        <v>14580.393188913904</v>
      </c>
      <c r="E174" s="43">
        <f t="shared" si="33"/>
        <v>9005.033027079</v>
      </c>
      <c r="F174" s="43">
        <f t="shared" si="34"/>
        <v>9218.34194913278</v>
      </c>
      <c r="G174" s="43">
        <f t="shared" si="34"/>
        <v>2902.525394069713</v>
      </c>
      <c r="H174" s="5"/>
      <c r="J174" s="43">
        <f t="shared" si="31"/>
        <v>85163.90885937559</v>
      </c>
    </row>
    <row r="175" spans="1:10" ht="12.75">
      <c r="A175" s="1">
        <v>2001</v>
      </c>
      <c r="B175" s="43">
        <f t="shared" si="29"/>
        <v>15002.735996818647</v>
      </c>
      <c r="C175" s="43">
        <f t="shared" si="32"/>
        <v>12567.381292101296</v>
      </c>
      <c r="D175" s="43">
        <f t="shared" si="33"/>
        <v>16050.672601403254</v>
      </c>
      <c r="E175" s="43">
        <f t="shared" si="33"/>
        <v>9453.581481933868</v>
      </c>
      <c r="F175" s="43">
        <f t="shared" si="34"/>
        <v>9754.096603212698</v>
      </c>
      <c r="G175" s="43">
        <f t="shared" si="34"/>
        <v>3019.0676415039557</v>
      </c>
      <c r="H175" s="5"/>
      <c r="J175" s="43">
        <f t="shared" si="31"/>
        <v>73844.38287352736</v>
      </c>
    </row>
    <row r="176" spans="1:10" ht="12.75">
      <c r="A176" s="1">
        <v>2002</v>
      </c>
      <c r="B176" s="43">
        <f t="shared" si="29"/>
        <v>16452.001794384927</v>
      </c>
      <c r="C176" s="43">
        <f t="shared" si="32"/>
        <v>13916.030203842854</v>
      </c>
      <c r="D176" s="43">
        <f t="shared" si="33"/>
        <v>17693.060948090286</v>
      </c>
      <c r="E176" s="43">
        <f t="shared" si="33"/>
        <v>10400.958183669694</v>
      </c>
      <c r="F176" s="43">
        <f t="shared" si="34"/>
        <v>10764.432058380346</v>
      </c>
      <c r="G176" s="43">
        <f t="shared" si="34"/>
        <v>3371.335395631628</v>
      </c>
      <c r="H176" s="5"/>
      <c r="J176" s="43">
        <f t="shared" si="31"/>
        <v>57094.285146401424</v>
      </c>
    </row>
    <row r="177" spans="1:10" ht="12.75">
      <c r="A177" s="1">
        <v>2003</v>
      </c>
      <c r="B177" s="43">
        <f t="shared" si="29"/>
        <v>18247.640723431454</v>
      </c>
      <c r="C177" s="43">
        <f t="shared" si="32"/>
        <v>15498.179416265086</v>
      </c>
      <c r="D177" s="43">
        <f t="shared" si="33"/>
        <v>19299.36005092153</v>
      </c>
      <c r="E177" s="43">
        <f t="shared" si="33"/>
        <v>11505.234202432992</v>
      </c>
      <c r="F177" s="43">
        <f t="shared" si="34"/>
        <v>11961.490601833832</v>
      </c>
      <c r="G177" s="43">
        <f t="shared" si="34"/>
        <v>3769.4708651894916</v>
      </c>
      <c r="H177" s="5"/>
      <c r="J177" s="43">
        <f t="shared" si="31"/>
        <v>69004.21966399917</v>
      </c>
    </row>
    <row r="178" spans="1:10" ht="12.75">
      <c r="A178" s="1">
        <v>2004</v>
      </c>
      <c r="B178" s="43">
        <f t="shared" si="29"/>
        <v>21593.279958566007</v>
      </c>
      <c r="C178" s="43">
        <f t="shared" si="32"/>
        <v>18756.706282488434</v>
      </c>
      <c r="D178" s="43">
        <f t="shared" si="33"/>
        <v>22169.31964031638</v>
      </c>
      <c r="E178" s="43">
        <f t="shared" si="33"/>
        <v>13764.192946050414</v>
      </c>
      <c r="F178" s="43">
        <f t="shared" si="34"/>
        <v>14436.579549491002</v>
      </c>
      <c r="G178" s="43">
        <f t="shared" si="34"/>
        <v>4657.273602573923</v>
      </c>
      <c r="H178" s="5"/>
      <c r="J178" s="43">
        <f t="shared" si="31"/>
        <v>77836.75978099108</v>
      </c>
    </row>
    <row r="179" spans="1:10" ht="12.75">
      <c r="A179" s="1">
        <v>2005</v>
      </c>
      <c r="B179" s="43">
        <f t="shared" si="29"/>
        <v>25717.596430652116</v>
      </c>
      <c r="C179" s="43">
        <f t="shared" si="32"/>
        <v>22391.290864123435</v>
      </c>
      <c r="D179" s="43">
        <f t="shared" si="33"/>
        <v>25587.671282532305</v>
      </c>
      <c r="E179" s="43">
        <f t="shared" si="33"/>
        <v>16254.891496089107</v>
      </c>
      <c r="F179" s="43">
        <f t="shared" si="34"/>
        <v>17229.070944228635</v>
      </c>
      <c r="G179" s="43">
        <f t="shared" si="34"/>
        <v>5571.083981657395</v>
      </c>
      <c r="H179" s="5"/>
      <c r="J179" s="43">
        <f t="shared" si="31"/>
        <v>94493.82637412316</v>
      </c>
    </row>
  </sheetData>
  <printOptions/>
  <pageMargins left="0.75" right="0.75" top="1" bottom="1" header="0.5" footer="0.5"/>
  <pageSetup fitToHeight="1" fitToWidth="1"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CU781"/>
  <sheetViews>
    <sheetView zoomScale="85" zoomScaleNormal="85" workbookViewId="0" topLeftCell="A1">
      <selection activeCell="B13" sqref="B13"/>
    </sheetView>
  </sheetViews>
  <sheetFormatPr defaultColWidth="9.140625" defaultRowHeight="12.75"/>
  <cols>
    <col min="1" max="1" width="11.00390625" style="1" customWidth="1"/>
    <col min="2" max="2" width="13.421875" style="5" customWidth="1"/>
    <col min="3" max="7" width="13.421875" style="2" customWidth="1"/>
    <col min="8" max="13" width="9.140625" style="2" customWidth="1"/>
    <col min="14" max="14" width="8.7109375" style="2" customWidth="1"/>
    <col min="15" max="16384" width="9.140625" style="2" customWidth="1"/>
  </cols>
  <sheetData>
    <row r="1" spans="3:35" ht="15.75">
      <c r="C1" s="29" t="s">
        <v>68</v>
      </c>
      <c r="D1"/>
      <c r="E1"/>
      <c r="F1"/>
      <c r="J1"/>
      <c r="K1"/>
      <c r="L1" s="29" t="s">
        <v>68</v>
      </c>
      <c r="M1"/>
      <c r="N1"/>
      <c r="O1"/>
      <c r="S1" s="29" t="s">
        <v>71</v>
      </c>
      <c r="X1"/>
      <c r="Y1"/>
      <c r="Z1" s="29" t="s">
        <v>70</v>
      </c>
      <c r="AA1"/>
      <c r="AB1"/>
      <c r="AC1"/>
      <c r="AD1"/>
      <c r="AE1"/>
      <c r="AF1"/>
      <c r="AG1"/>
      <c r="AH1" s="29" t="s">
        <v>69</v>
      </c>
      <c r="AI1"/>
    </row>
    <row r="2" spans="3:35" ht="12.75">
      <c r="C2"/>
      <c r="D2"/>
      <c r="E2"/>
      <c r="F2"/>
      <c r="J2"/>
      <c r="K2"/>
      <c r="L2"/>
      <c r="M2"/>
      <c r="N2"/>
      <c r="O2"/>
      <c r="X2"/>
      <c r="Y2"/>
      <c r="Z2"/>
      <c r="AA2"/>
      <c r="AB2"/>
      <c r="AC2"/>
      <c r="AD2"/>
      <c r="AE2"/>
      <c r="AF2"/>
      <c r="AG2"/>
      <c r="AH2"/>
      <c r="AI2"/>
    </row>
    <row r="3" spans="2:39" ht="38.25">
      <c r="B3" s="30"/>
      <c r="C3" s="36" t="s">
        <v>58</v>
      </c>
      <c r="D3" s="36" t="s">
        <v>59</v>
      </c>
      <c r="E3" s="36" t="s">
        <v>4</v>
      </c>
      <c r="F3" s="36" t="s">
        <v>5</v>
      </c>
      <c r="G3" s="36" t="s">
        <v>62</v>
      </c>
      <c r="H3" s="13"/>
      <c r="I3" s="70" t="s">
        <v>67</v>
      </c>
      <c r="J3"/>
      <c r="K3"/>
      <c r="L3" s="36" t="s">
        <v>58</v>
      </c>
      <c r="M3" s="36" t="s">
        <v>59</v>
      </c>
      <c r="N3" s="36" t="s">
        <v>4</v>
      </c>
      <c r="O3" s="36" t="s">
        <v>5</v>
      </c>
      <c r="P3" s="36" t="s">
        <v>62</v>
      </c>
      <c r="Q3" s="13"/>
      <c r="S3" s="36" t="s">
        <v>58</v>
      </c>
      <c r="T3" s="36" t="s">
        <v>59</v>
      </c>
      <c r="U3" s="36" t="s">
        <v>4</v>
      </c>
      <c r="V3" s="36" t="s">
        <v>5</v>
      </c>
      <c r="W3" s="36" t="s">
        <v>62</v>
      </c>
      <c r="X3" s="13"/>
      <c r="Y3"/>
      <c r="Z3" s="36" t="s">
        <v>58</v>
      </c>
      <c r="AA3" s="36" t="s">
        <v>59</v>
      </c>
      <c r="AB3" s="36" t="s">
        <v>4</v>
      </c>
      <c r="AC3" s="36" t="s">
        <v>5</v>
      </c>
      <c r="AD3" s="36" t="s">
        <v>62</v>
      </c>
      <c r="AE3" s="13"/>
      <c r="AF3"/>
      <c r="AG3"/>
      <c r="AH3" s="36" t="s">
        <v>58</v>
      </c>
      <c r="AI3" s="36" t="s">
        <v>59</v>
      </c>
      <c r="AJ3" s="36" t="s">
        <v>4</v>
      </c>
      <c r="AK3" s="36" t="s">
        <v>5</v>
      </c>
      <c r="AL3" s="36" t="s">
        <v>62</v>
      </c>
      <c r="AM3" s="13"/>
    </row>
    <row r="4" spans="3:39" ht="12.75">
      <c r="C4" s="37">
        <f>CORREL(B57:B110,B58:B111)</f>
        <v>0.284155959315272</v>
      </c>
      <c r="D4" s="37">
        <v>0.3267414949331623</v>
      </c>
      <c r="E4" s="37">
        <f>+C4</f>
        <v>0.284155959315272</v>
      </c>
      <c r="F4" s="37">
        <f aca="true" t="shared" si="0" ref="F4:F9">+$C$4+I4</f>
        <v>0.359155959315272</v>
      </c>
      <c r="G4" s="37">
        <v>1</v>
      </c>
      <c r="H4" s="12">
        <f>+B18+2*B23</f>
        <v>0.2721259755197215</v>
      </c>
      <c r="I4" s="13">
        <v>0.075</v>
      </c>
      <c r="J4"/>
      <c r="K4"/>
      <c r="L4" s="37" t="e">
        <f>CORREL(K57:K110,K58:K111)</f>
        <v>#DIV/0!</v>
      </c>
      <c r="M4" s="37">
        <v>0.3267414949331623</v>
      </c>
      <c r="N4" s="37" t="e">
        <f>+L4</f>
        <v>#DIV/0!</v>
      </c>
      <c r="O4" s="37">
        <f aca="true" t="shared" si="1" ref="O4:O9">+$C$4+R4</f>
        <v>0.284155959315272</v>
      </c>
      <c r="P4" s="37">
        <v>1</v>
      </c>
      <c r="Q4" s="12">
        <f>+K18+2*K23</f>
        <v>0.38710710303054974</v>
      </c>
      <c r="S4" s="37">
        <f>CORREL(R77:R110,R78:R111)</f>
        <v>0.07071764814582322</v>
      </c>
      <c r="T4" s="37">
        <v>0.34308672601358</v>
      </c>
      <c r="U4" s="37">
        <f>+S4</f>
        <v>0.07071764814582322</v>
      </c>
      <c r="V4" s="37">
        <f aca="true" t="shared" si="2" ref="V4:V9">+$C$4+Y4</f>
        <v>0.284155959315272</v>
      </c>
      <c r="W4" s="37">
        <v>1</v>
      </c>
      <c r="X4" s="12">
        <f>+R19+2*R24</f>
        <v>40.68001504516218</v>
      </c>
      <c r="Y4" s="69"/>
      <c r="Z4" s="37" t="e">
        <f>CORREL(Y87:Y110,Y88:Y111)</f>
        <v>#DIV/0!</v>
      </c>
      <c r="AA4" s="37">
        <v>0.6131354698782923</v>
      </c>
      <c r="AB4" s="37" t="e">
        <f>+Z4</f>
        <v>#DIV/0!</v>
      </c>
      <c r="AC4" s="37">
        <f aca="true" t="shared" si="3" ref="AC4:AC9">+$C$4+AF4</f>
        <v>0.284155959315272</v>
      </c>
      <c r="AD4" s="37">
        <v>1</v>
      </c>
      <c r="AE4" s="12">
        <f>+Y20+2*Y25</f>
        <v>0</v>
      </c>
      <c r="AF4"/>
      <c r="AG4"/>
      <c r="AH4" s="37" t="e">
        <f>CORREL(AG97:AG110,AG98:AG111)</f>
        <v>#DIV/0!</v>
      </c>
      <c r="AI4" s="37">
        <v>0.10828192301546571</v>
      </c>
      <c r="AJ4" s="37" t="e">
        <f>+AH4</f>
        <v>#DIV/0!</v>
      </c>
      <c r="AK4" s="37">
        <f aca="true" t="shared" si="4" ref="AK4:AK9">+$C$4+AN4</f>
        <v>0.284155959315272</v>
      </c>
      <c r="AL4" s="37">
        <v>1</v>
      </c>
      <c r="AM4" s="12">
        <f>+AG21+2*AG26</f>
        <v>0</v>
      </c>
    </row>
    <row r="5" spans="3:39" ht="12.75">
      <c r="C5" s="38"/>
      <c r="D5" s="37">
        <v>-0.07568024193555181</v>
      </c>
      <c r="E5" s="39">
        <v>2</v>
      </c>
      <c r="F5" s="37">
        <f t="shared" si="0"/>
        <v>0.25915595931527197</v>
      </c>
      <c r="G5" s="16"/>
      <c r="H5" s="12">
        <f>+B18+B23</f>
        <v>0.18651535627460875</v>
      </c>
      <c r="I5" s="13">
        <v>-0.025</v>
      </c>
      <c r="J5"/>
      <c r="K5"/>
      <c r="L5" s="38"/>
      <c r="M5" s="37">
        <v>-0.07568024193555181</v>
      </c>
      <c r="N5" s="39">
        <v>2</v>
      </c>
      <c r="O5" s="37">
        <f t="shared" si="1"/>
        <v>0.284155959315272</v>
      </c>
      <c r="P5" s="16"/>
      <c r="Q5" s="12">
        <f>+K18+K23</f>
        <v>0.3936991672682879</v>
      </c>
      <c r="S5" s="38"/>
      <c r="T5" s="37">
        <v>-0.25931739130796283</v>
      </c>
      <c r="U5" s="39">
        <v>2</v>
      </c>
      <c r="V5" s="37">
        <f t="shared" si="2"/>
        <v>0.284155959315272</v>
      </c>
      <c r="W5" s="16"/>
      <c r="X5" s="12">
        <f>+R19+R24</f>
        <v>26.692552758188597</v>
      </c>
      <c r="Y5" s="69"/>
      <c r="Z5" s="38"/>
      <c r="AA5" s="37">
        <v>-0.499671662616796</v>
      </c>
      <c r="AB5" s="39">
        <v>2</v>
      </c>
      <c r="AC5" s="37">
        <f t="shared" si="3"/>
        <v>0.284155959315272</v>
      </c>
      <c r="AD5" s="16"/>
      <c r="AE5" s="12">
        <f>+Y20+Y25</f>
        <v>0</v>
      </c>
      <c r="AF5"/>
      <c r="AG5"/>
      <c r="AH5" s="38"/>
      <c r="AI5" s="37">
        <v>-0.7469745303074585</v>
      </c>
      <c r="AJ5" s="39">
        <v>2</v>
      </c>
      <c r="AK5" s="37">
        <f t="shared" si="4"/>
        <v>0.284155959315272</v>
      </c>
      <c r="AL5" s="16"/>
      <c r="AM5" s="12">
        <f>+AG21+AG26</f>
        <v>0</v>
      </c>
    </row>
    <row r="6" spans="3:39" ht="12.75">
      <c r="C6" s="38"/>
      <c r="D6" s="40"/>
      <c r="E6" s="37">
        <f>(E5*(STDEV(C57:C111)))/STDEV(J57:J111)</f>
        <v>1.3414056642804926</v>
      </c>
      <c r="F6" s="37">
        <f t="shared" si="0"/>
        <v>0.159155959315272</v>
      </c>
      <c r="G6" s="16"/>
      <c r="H6" s="12">
        <f>+B18</f>
        <v>0.10090473702949597</v>
      </c>
      <c r="I6" s="14">
        <v>-0.125</v>
      </c>
      <c r="J6"/>
      <c r="K6"/>
      <c r="L6" s="38"/>
      <c r="M6" s="40"/>
      <c r="N6" s="37" t="e">
        <f>(N5*(STDEV(L57:L111)))/STDEV(S57:S111)</f>
        <v>#DIV/0!</v>
      </c>
      <c r="O6" s="37">
        <f t="shared" si="1"/>
        <v>0.284155959315272</v>
      </c>
      <c r="P6" s="16"/>
      <c r="Q6" s="12">
        <f>+K18</f>
        <v>0.4002912315060261</v>
      </c>
      <c r="R6"/>
      <c r="S6" s="38"/>
      <c r="T6" s="40"/>
      <c r="U6" s="37" t="e">
        <f>(U5*(STDEV(S77:S111)))/STDEV(Z77:Z111)</f>
        <v>#DIV/0!</v>
      </c>
      <c r="V6" s="37">
        <f t="shared" si="2"/>
        <v>0.284155959315272</v>
      </c>
      <c r="W6" s="16"/>
      <c r="X6" s="12">
        <f>+R19</f>
        <v>12.705090471215012</v>
      </c>
      <c r="Y6"/>
      <c r="Z6" s="38"/>
      <c r="AA6" s="40"/>
      <c r="AB6" s="37" t="e">
        <f>(AB5*(STDEV(Z87:Z111)))/STDEV(AG87:AG111)</f>
        <v>#DIV/0!</v>
      </c>
      <c r="AC6" s="37">
        <f t="shared" si="3"/>
        <v>0.284155959315272</v>
      </c>
      <c r="AD6" s="16"/>
      <c r="AE6" s="12">
        <f>+Y20</f>
        <v>0</v>
      </c>
      <c r="AF6"/>
      <c r="AG6"/>
      <c r="AH6" s="38"/>
      <c r="AI6" s="40"/>
      <c r="AJ6" s="37" t="e">
        <f>(AJ5*(STDEV(AH97:AH111)))/STDEV(AO97:AO111)</f>
        <v>#DIV/0!</v>
      </c>
      <c r="AK6" s="37">
        <f t="shared" si="4"/>
        <v>0.284155959315272</v>
      </c>
      <c r="AL6" s="16"/>
      <c r="AM6" s="12">
        <f>+AG21</f>
        <v>0</v>
      </c>
    </row>
    <row r="7" spans="3:39" ht="12.75">
      <c r="C7" s="38"/>
      <c r="D7" s="40"/>
      <c r="E7" s="37"/>
      <c r="F7" s="37">
        <f t="shared" si="0"/>
        <v>0.20915595931527198</v>
      </c>
      <c r="G7" s="16"/>
      <c r="H7" s="12">
        <f>+B18-B23</f>
        <v>0.015294117784383207</v>
      </c>
      <c r="I7" s="2">
        <v>-0.075</v>
      </c>
      <c r="J7"/>
      <c r="K7"/>
      <c r="L7" s="38"/>
      <c r="M7" s="40"/>
      <c r="N7" s="38"/>
      <c r="O7" s="37">
        <f t="shared" si="1"/>
        <v>0.284155959315272</v>
      </c>
      <c r="P7" s="16"/>
      <c r="Q7" s="12">
        <f>+K18-K23</f>
        <v>0.40688329574376425</v>
      </c>
      <c r="R7"/>
      <c r="S7" s="38"/>
      <c r="T7" s="40"/>
      <c r="U7" s="38"/>
      <c r="V7" s="37">
        <f t="shared" si="2"/>
        <v>0.284155959315272</v>
      </c>
      <c r="W7" s="16"/>
      <c r="X7" s="12">
        <f>+R19-R24</f>
        <v>-1.282371815758573</v>
      </c>
      <c r="Y7"/>
      <c r="Z7" s="38"/>
      <c r="AA7" s="40"/>
      <c r="AB7" s="38"/>
      <c r="AC7" s="37">
        <f t="shared" si="3"/>
        <v>0.284155959315272</v>
      </c>
      <c r="AD7" s="16"/>
      <c r="AE7" s="12">
        <f>+Y20-Y25</f>
        <v>0</v>
      </c>
      <c r="AF7"/>
      <c r="AG7"/>
      <c r="AH7" s="38"/>
      <c r="AI7" s="40"/>
      <c r="AJ7" s="38"/>
      <c r="AK7" s="37">
        <f t="shared" si="4"/>
        <v>0.284155959315272</v>
      </c>
      <c r="AL7" s="16"/>
      <c r="AM7" s="12">
        <f>+AG21-AG26</f>
        <v>0</v>
      </c>
    </row>
    <row r="8" spans="3:39" ht="12.75">
      <c r="C8" s="38"/>
      <c r="D8" s="40"/>
      <c r="E8" s="38"/>
      <c r="F8" s="37">
        <f t="shared" si="0"/>
        <v>0.309155959315272</v>
      </c>
      <c r="G8" s="16"/>
      <c r="H8" s="12">
        <f>+B18-2*B23</f>
        <v>-0.07031650146072956</v>
      </c>
      <c r="I8" s="2">
        <v>0.025</v>
      </c>
      <c r="J8"/>
      <c r="K8"/>
      <c r="L8" s="38"/>
      <c r="M8" s="40"/>
      <c r="N8" s="38"/>
      <c r="O8" s="37">
        <f t="shared" si="1"/>
        <v>0.284155959315272</v>
      </c>
      <c r="P8" s="16"/>
      <c r="Q8" s="12">
        <f>+K18-2*K23</f>
        <v>0.4134753599815024</v>
      </c>
      <c r="R8"/>
      <c r="S8" s="38"/>
      <c r="T8" s="40"/>
      <c r="U8" s="38"/>
      <c r="V8" s="37">
        <f t="shared" si="2"/>
        <v>0.284155959315272</v>
      </c>
      <c r="W8" s="16"/>
      <c r="X8" s="12">
        <f>+R19-2*R24</f>
        <v>-15.269834102732158</v>
      </c>
      <c r="Y8"/>
      <c r="Z8" s="38"/>
      <c r="AA8" s="40"/>
      <c r="AB8" s="38"/>
      <c r="AC8" s="37">
        <f t="shared" si="3"/>
        <v>0.284155959315272</v>
      </c>
      <c r="AD8" s="16"/>
      <c r="AE8" s="12">
        <f>+Y20-2*Y25</f>
        <v>0</v>
      </c>
      <c r="AF8"/>
      <c r="AG8"/>
      <c r="AH8" s="38"/>
      <c r="AI8" s="40"/>
      <c r="AJ8" s="38"/>
      <c r="AK8" s="37">
        <f t="shared" si="4"/>
        <v>0.284155959315272</v>
      </c>
      <c r="AL8" s="16"/>
      <c r="AM8" s="12">
        <f>+AG21-2*AG26</f>
        <v>0</v>
      </c>
    </row>
    <row r="9" spans="3:38" ht="12.75">
      <c r="C9" s="38"/>
      <c r="D9" s="40"/>
      <c r="E9" s="38"/>
      <c r="F9" s="37">
        <f t="shared" si="0"/>
        <v>0.409155959315272</v>
      </c>
      <c r="G9" s="16"/>
      <c r="I9" s="2">
        <v>0.125</v>
      </c>
      <c r="J9"/>
      <c r="K9"/>
      <c r="L9" s="38"/>
      <c r="M9" s="40"/>
      <c r="N9" s="38"/>
      <c r="O9" s="37">
        <f t="shared" si="1"/>
        <v>0.284155959315272</v>
      </c>
      <c r="P9" s="16"/>
      <c r="R9"/>
      <c r="S9" s="38"/>
      <c r="T9" s="40"/>
      <c r="U9" s="38"/>
      <c r="V9" s="37">
        <f t="shared" si="2"/>
        <v>0.284155959315272</v>
      </c>
      <c r="W9" s="16"/>
      <c r="Y9"/>
      <c r="Z9" s="38"/>
      <c r="AA9" s="40"/>
      <c r="AB9" s="38"/>
      <c r="AC9" s="37">
        <f t="shared" si="3"/>
        <v>0.284155959315272</v>
      </c>
      <c r="AD9" s="16"/>
      <c r="AF9"/>
      <c r="AG9"/>
      <c r="AH9" s="38"/>
      <c r="AI9" s="40"/>
      <c r="AJ9" s="38"/>
      <c r="AK9" s="37">
        <f t="shared" si="4"/>
        <v>0.284155959315272</v>
      </c>
      <c r="AL9" s="16"/>
    </row>
    <row r="10" spans="3:35" ht="20.25" customHeight="1" thickBot="1">
      <c r="C10" s="33" t="s">
        <v>61</v>
      </c>
      <c r="D10" s="34"/>
      <c r="E10" s="35"/>
      <c r="F10" s="34"/>
      <c r="G10" s="34"/>
      <c r="J10"/>
      <c r="K10"/>
      <c r="L10" s="1"/>
      <c r="M10" s="5"/>
      <c r="N10" s="33" t="s">
        <v>61</v>
      </c>
      <c r="O10" s="34"/>
      <c r="P10" s="35"/>
      <c r="Q10" s="34"/>
      <c r="R10" s="34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99" ht="38.25">
      <c r="A11" s="7" t="s">
        <v>9</v>
      </c>
      <c r="B11" s="41" t="s">
        <v>60</v>
      </c>
      <c r="C11" s="42" t="str">
        <f>+C3</f>
        <v>Lag 1 Method</v>
      </c>
      <c r="D11" s="42" t="str">
        <f>+D3</f>
        <v>Lags 1&amp;2 Method</v>
      </c>
      <c r="E11" s="42" t="str">
        <f>+E3</f>
        <v>Equity Volatility</v>
      </c>
      <c r="F11" s="42" t="str">
        <f>+F3</f>
        <v>Market States</v>
      </c>
      <c r="G11" s="42" t="str">
        <f>+G3</f>
        <v>Time Varying</v>
      </c>
      <c r="I11"/>
      <c r="J11"/>
      <c r="K11"/>
      <c r="L11" s="7" t="s">
        <v>9</v>
      </c>
      <c r="M11" s="41" t="s">
        <v>60</v>
      </c>
      <c r="N11" s="42" t="str">
        <f>+N3</f>
        <v>Equity Volatility</v>
      </c>
      <c r="O11" s="42" t="str">
        <f>+O3</f>
        <v>Market States</v>
      </c>
      <c r="P11" s="42" t="str">
        <f>+P3</f>
        <v>Time Varying</v>
      </c>
      <c r="Q11" s="42">
        <f>+Q3</f>
        <v>0</v>
      </c>
      <c r="R11" s="42">
        <f>+R3</f>
        <v>0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</row>
    <row r="12" spans="1:99" s="32" customFormat="1" ht="18" customHeight="1">
      <c r="A12" s="7" t="s">
        <v>7</v>
      </c>
      <c r="B12" s="57"/>
      <c r="C12" s="59"/>
      <c r="D12" s="59"/>
      <c r="E12" s="59"/>
      <c r="F12" s="59"/>
      <c r="G12" s="59"/>
      <c r="I12"/>
      <c r="J12"/>
      <c r="K12"/>
      <c r="L12" s="7" t="s">
        <v>7</v>
      </c>
      <c r="M12" s="57"/>
      <c r="N12" s="59"/>
      <c r="O12" s="59"/>
      <c r="P12" s="59"/>
      <c r="Q12" s="59"/>
      <c r="R12" s="59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</row>
    <row r="13" spans="1:99" ht="12.75">
      <c r="A13" s="1" t="s">
        <v>10</v>
      </c>
      <c r="B13" s="43">
        <f>RATE(55,,-B119,B$174)*100</f>
        <v>1.4481671500470985</v>
      </c>
      <c r="C13" s="43">
        <f>RATE(55,,-C119,C$174)*100</f>
        <v>1.422839826879789</v>
      </c>
      <c r="D13" s="43">
        <f>RATE(55,,-D119,D$174)*100</f>
        <v>1.4472469694050771</v>
      </c>
      <c r="E13" s="43">
        <f>RATE(55,,-E119,E$174)*100</f>
        <v>1.3629301489089913</v>
      </c>
      <c r="F13" s="43">
        <f>RATE(55,,-F119,F$174)*100</f>
        <v>1.3739606503468642</v>
      </c>
      <c r="G13" s="43" t="s">
        <v>21</v>
      </c>
      <c r="I13"/>
      <c r="J13"/>
      <c r="K13"/>
      <c r="L13" s="1" t="s">
        <v>10</v>
      </c>
      <c r="M13" s="43">
        <f>RATE(55,,-M119,M$174)*100</f>
        <v>10.617125958391933</v>
      </c>
      <c r="N13" s="43">
        <f>RATE(55,,-N119,N$174)*100</f>
        <v>10.75676175331752</v>
      </c>
      <c r="O13" s="43">
        <f>RATE(55,,-O119,O$174)*100</f>
        <v>10.700790725806957</v>
      </c>
      <c r="P13" s="43">
        <f>RATE(55,,-P119,P$174)*100</f>
        <v>7.913909949525958</v>
      </c>
      <c r="Q13" s="43">
        <f>RATE(55,,-Q119,Q$174)*100</f>
        <v>8.299185865856682</v>
      </c>
      <c r="R13" s="43" t="s">
        <v>21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</row>
    <row r="14" spans="1:99" ht="12.75">
      <c r="A14" s="1" t="s">
        <v>11</v>
      </c>
      <c r="B14" s="43">
        <f>RATE(35,,-B139,B$174)*100</f>
        <v>1.4914029910466107</v>
      </c>
      <c r="C14" s="43">
        <f>IF(ISERROR(RATE(35,,-C139,C$174)*100),"..",RATE(35,,-C139,C$174)*100)</f>
        <v>1.4495694709108107</v>
      </c>
      <c r="D14" s="43">
        <f>IF(ISERROR(RATE(35,,-D139,D$174)*100),"..",RATE(35,,-D139,D$174)*100)</f>
        <v>1.5135609314971654</v>
      </c>
      <c r="E14" s="43">
        <f>IF(ISERROR(RATE(35,,-E139,E$174)*100),"..",RATE(35,,-E139,E$174)*100)</f>
        <v>1.3983883860291768</v>
      </c>
      <c r="F14" s="43">
        <f>IF(ISERROR(RATE(35,,-F139,F$174)*100),"..",RATE(35,,-F139,F$174)*100)</f>
        <v>1.39082355848287</v>
      </c>
      <c r="G14" s="43">
        <f>IF(ISERROR(RATE(35,,-G139,G$174)*100),"..",RATE(35,,-G139,G$174)*100)</f>
        <v>1.541026191981862</v>
      </c>
      <c r="I14"/>
      <c r="J14"/>
      <c r="K14"/>
      <c r="L14" s="1" t="s">
        <v>11</v>
      </c>
      <c r="M14" s="43">
        <f>RATE(35,,-M139,M$174)*100</f>
        <v>12.448423962175271</v>
      </c>
      <c r="N14" s="43">
        <f>IF(ISERROR(RATE(35,,-N139,N$174)*100),"..",RATE(35,,-N139,N$174)*100)</f>
        <v>12.390863613831009</v>
      </c>
      <c r="O14" s="43">
        <f>IF(ISERROR(RATE(35,,-O139,O$174)*100),"..",RATE(35,,-O139,O$174)*100)</f>
        <v>12.361947383861484</v>
      </c>
      <c r="P14" s="43">
        <f>IF(ISERROR(RATE(35,,-P139,P$174)*100),"..",RATE(35,,-P139,P$174)*100)</f>
        <v>9.09862796802026</v>
      </c>
      <c r="Q14" s="43">
        <f>IF(ISERROR(RATE(35,,-Q139,Q$174)*100),"..",RATE(35,,-Q139,Q$174)*100)</f>
        <v>9.24273039476123</v>
      </c>
      <c r="R14" s="43">
        <f>IF(ISERROR(RATE(35,,-R139,R$174)*100),"..",RATE(35,,-R139,R$174)*100)</f>
        <v>11.682141633084859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</row>
    <row r="15" spans="1:99" ht="12.75">
      <c r="A15" s="3" t="s">
        <v>12</v>
      </c>
      <c r="B15" s="43">
        <f>RATE(25,,-B149,B$174)*100</f>
        <v>1.1852156938194127</v>
      </c>
      <c r="C15" s="43">
        <f>IF(ISERROR(RATE(25,,-C149,C$174)*100),"..",RATE(25,,-C149,C$174)*100)</f>
        <v>1.1847422335716788</v>
      </c>
      <c r="D15" s="43">
        <f>IF(ISERROR(RATE(25,,-D149,D$174)*100),"..",RATE(25,,-D149,D$174)*100)</f>
        <v>1.2159030568354905</v>
      </c>
      <c r="E15" s="43">
        <f>IF(ISERROR(RATE(25,,-E149,E$174)*100),"..",RATE(25,,-E149,E$174)*100)</f>
        <v>1.1440887228271335</v>
      </c>
      <c r="F15" s="43">
        <f>IF(ISERROR(RATE(25,,-F149,F$174)*100),"..",RATE(25,,-F149,F$174)*100)</f>
        <v>1.2011844484048</v>
      </c>
      <c r="G15" s="43">
        <f>IF(ISERROR(RATE(25,,-G149,G$174)*100),"..",RATE(25,,-G149,G$174)*100)</f>
        <v>1.4825852691694688</v>
      </c>
      <c r="I15"/>
      <c r="J15"/>
      <c r="K15"/>
      <c r="L15" s="3" t="s">
        <v>12</v>
      </c>
      <c r="M15" s="43">
        <f>RATE(25,,-M149,M$174)*100</f>
        <v>10.919884703948648</v>
      </c>
      <c r="N15" s="43">
        <f>IF(ISERROR(RATE(25,,-N149,N$174)*100),"..",RATE(25,,-N149,N$174)*100)</f>
        <v>10.943546984696875</v>
      </c>
      <c r="O15" s="43">
        <f>IF(ISERROR(RATE(25,,-O149,O$174)*100),"..",RATE(25,,-O149,O$174)*100)</f>
        <v>10.957937621157015</v>
      </c>
      <c r="P15" s="43">
        <f>IF(ISERROR(RATE(25,,-P149,P$174)*100),"..",RATE(25,,-P149,P$174)*100)</f>
        <v>8.049552650360315</v>
      </c>
      <c r="Q15" s="43">
        <f>IF(ISERROR(RATE(25,,-Q149,Q$174)*100),"..",RATE(25,,-Q149,Q$174)*100)</f>
        <v>9.578456929306164</v>
      </c>
      <c r="R15" s="43">
        <f>IF(ISERROR(RATE(25,,-R149,R$174)*100),"..",RATE(25,,-R149,R$174)*100)</f>
        <v>11.380721459819004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</row>
    <row r="16" spans="1:99" ht="12.75">
      <c r="A16" s="3" t="s">
        <v>13</v>
      </c>
      <c r="B16" s="43">
        <f>RATE(15,,-B159,B$174)*100</f>
        <v>1.0615140908769551</v>
      </c>
      <c r="C16" s="43">
        <f>IF(ISERROR(RATE(15,,-C159,C$174)*100),"..",RATE(15,,-C159,C$174)*100)</f>
        <v>1.1397910994436176</v>
      </c>
      <c r="D16" s="43">
        <f>IF(ISERROR(RATE(15,,-D159,D$174)*100),"..",RATE(15,,-D159,D$174)*100)</f>
        <v>0.9879989410325674</v>
      </c>
      <c r="E16" s="43">
        <f>IF(ISERROR(RATE(15,,-E159,E$174)*100),"..",RATE(15,,-E159,E$174)*100)</f>
        <v>1.1017052804940273</v>
      </c>
      <c r="F16" s="43">
        <f>IF(ISERROR(RATE(15,,-F159,F$174)*100),"..",RATE(15,,-F159,F$174)*100)</f>
        <v>1.167651298104996</v>
      </c>
      <c r="G16" s="43">
        <f>IF(ISERROR(RATE(15,,-G159,G$174)*100),"..",RATE(15,,-G159,G$174)*100)</f>
        <v>1.3789952809585135</v>
      </c>
      <c r="I16"/>
      <c r="J16"/>
      <c r="K16"/>
      <c r="L16" s="3" t="s">
        <v>13</v>
      </c>
      <c r="M16" s="43">
        <f>RATE(15,,-M159,M$174)*100</f>
        <v>10.425094528591414</v>
      </c>
      <c r="N16" s="43">
        <f>IF(ISERROR(RATE(15,,-N159,N$174)*100),"..",RATE(15,,-N159,N$174)*100)</f>
        <v>11.196636291608906</v>
      </c>
      <c r="O16" s="43">
        <f>IF(ISERROR(RATE(15,,-O159,O$174)*100),"..",RATE(15,,-O159,O$174)*100)</f>
        <v>11.057684962163604</v>
      </c>
      <c r="P16" s="43">
        <f>IF(ISERROR(RATE(15,,-P159,P$174)*100),"..",RATE(15,,-P159,P$174)*100)</f>
        <v>8.233252420026274</v>
      </c>
      <c r="Q16" s="43">
        <f>IF(ISERROR(RATE(15,,-Q159,Q$174)*100),"..",RATE(15,,-Q159,Q$174)*100)</f>
        <v>10.894801126813729</v>
      </c>
      <c r="R16" s="43">
        <f>IF(ISERROR(RATE(15,,-R159,R$174)*100),"..",RATE(15,,-R159,R$174)*100)</f>
        <v>11.434125898198308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</row>
    <row r="17" spans="1:99" ht="18" customHeight="1">
      <c r="A17" s="8" t="s">
        <v>6</v>
      </c>
      <c r="B17" s="43"/>
      <c r="C17" s="43"/>
      <c r="D17" s="43"/>
      <c r="E17" s="43"/>
      <c r="F17" s="43"/>
      <c r="G17" s="43"/>
      <c r="I17"/>
      <c r="J17"/>
      <c r="K17"/>
      <c r="L17" s="8" t="s">
        <v>6</v>
      </c>
      <c r="M17" s="43"/>
      <c r="N17" s="43"/>
      <c r="O17" s="43"/>
      <c r="P17" s="43"/>
      <c r="Q17" s="43"/>
      <c r="R17" s="43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</row>
    <row r="18" spans="1:99" ht="12.75">
      <c r="A18" s="1" t="s">
        <v>10</v>
      </c>
      <c r="B18" s="43">
        <f>AVERAGE(B$57:B$111)</f>
        <v>0.10090473702949597</v>
      </c>
      <c r="C18" s="43">
        <f>AVERAGE(C$57:C$111)</f>
        <v>0.10216627527944902</v>
      </c>
      <c r="D18" s="43">
        <f>AVERAGE(D$57:D$111)</f>
        <v>0.1016607966622082</v>
      </c>
      <c r="E18" s="43">
        <f>AVERAGE(E$57:E$111)</f>
        <v>0.07616359316199046</v>
      </c>
      <c r="F18" s="43">
        <f>AVERAGE(F$57:F$111)</f>
        <v>0.07972745059315245</v>
      </c>
      <c r="G18" s="43" t="s">
        <v>21</v>
      </c>
      <c r="I18"/>
      <c r="J18"/>
      <c r="K18" s="25">
        <f>+N18-'Annual Total Returns'!C18</f>
        <v>0.4002912315060261</v>
      </c>
      <c r="L18" s="1" t="s">
        <v>10</v>
      </c>
      <c r="M18" s="43">
        <f>AVERAGE(M$57:M$111)</f>
        <v>11.011618363636366</v>
      </c>
      <c r="N18" s="43">
        <f>AVERAGE(N$57:N$111)</f>
        <v>11.443554781761927</v>
      </c>
      <c r="O18" s="43">
        <f>AVERAGE(O$57:O$111)</f>
        <v>11.331246532063563</v>
      </c>
      <c r="P18" s="43">
        <f>AVERAGE(P$57:P$111)</f>
        <v>8.28826999027958</v>
      </c>
      <c r="Q18" s="43">
        <f>AVERAGE(Q$57:Q$111)</f>
        <v>8.83559548485151</v>
      </c>
      <c r="R18" s="43" t="s">
        <v>21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</row>
    <row r="19" spans="1:99" ht="12.75">
      <c r="A19" s="1" t="s">
        <v>11</v>
      </c>
      <c r="B19" s="43">
        <f aca="true" t="shared" si="5" ref="B19:G19">AVERAGE(B$77:B$111)</f>
        <v>0.11732447686480164</v>
      </c>
      <c r="C19" s="43">
        <f t="shared" si="5"/>
        <v>0.11681246359326572</v>
      </c>
      <c r="D19" s="43">
        <f t="shared" si="5"/>
        <v>0.1165551477447968</v>
      </c>
      <c r="E19" s="43">
        <f t="shared" si="5"/>
        <v>0.08708213086003475</v>
      </c>
      <c r="F19" s="43">
        <f t="shared" si="5"/>
        <v>0.088402104764533</v>
      </c>
      <c r="G19" s="43">
        <f t="shared" si="5"/>
        <v>0.11048662935639893</v>
      </c>
      <c r="I19"/>
      <c r="J19"/>
      <c r="K19" s="25">
        <f>+N19-'Annual Total Returns'!C19</f>
        <v>0.37182186703245</v>
      </c>
      <c r="L19" s="1" t="s">
        <v>11</v>
      </c>
      <c r="M19" s="43">
        <f aca="true" t="shared" si="6" ref="M19:R19">AVERAGE(M$77:M$111)</f>
        <v>12.929686</v>
      </c>
      <c r="N19" s="43">
        <f t="shared" si="6"/>
        <v>13.244527694696682</v>
      </c>
      <c r="O19" s="43">
        <f t="shared" si="6"/>
        <v>13.132768419220469</v>
      </c>
      <c r="P19" s="43">
        <f t="shared" si="6"/>
        <v>9.564849735302564</v>
      </c>
      <c r="Q19" s="43">
        <f t="shared" si="6"/>
        <v>9.9913074045564</v>
      </c>
      <c r="R19" s="43">
        <f t="shared" si="6"/>
        <v>12.705090471215012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</row>
    <row r="20" spans="1:99" ht="12.75">
      <c r="A20" s="3" t="s">
        <v>12</v>
      </c>
      <c r="B20" s="43">
        <f aca="true" t="shared" si="7" ref="B20:G20">AVERAGE(B$87:B$111)</f>
        <v>0.10363799530665457</v>
      </c>
      <c r="C20" s="43">
        <f t="shared" si="7"/>
        <v>0.10385130022724516</v>
      </c>
      <c r="D20" s="43">
        <f t="shared" si="7"/>
        <v>0.10398100315831652</v>
      </c>
      <c r="E20" s="43">
        <f t="shared" si="7"/>
        <v>0.07741975674670293</v>
      </c>
      <c r="F20" s="43">
        <f t="shared" si="7"/>
        <v>0.09147060834121039</v>
      </c>
      <c r="G20" s="43">
        <f t="shared" si="7"/>
        <v>0.10778406961536337</v>
      </c>
      <c r="I20"/>
      <c r="J20"/>
      <c r="K20" s="25">
        <f>+N20-'Annual Total Returns'!C20</f>
        <v>0.19769937579329522</v>
      </c>
      <c r="L20" s="3" t="s">
        <v>12</v>
      </c>
      <c r="M20" s="43">
        <f aca="true" t="shared" si="8" ref="M20:R20">AVERAGE(M$87:M$111)</f>
        <v>11.232455999999999</v>
      </c>
      <c r="N20" s="43">
        <f t="shared" si="8"/>
        <v>11.453206362630697</v>
      </c>
      <c r="O20" s="43">
        <f t="shared" si="8"/>
        <v>11.392923768197402</v>
      </c>
      <c r="P20" s="43">
        <f t="shared" si="8"/>
        <v>8.326154791082349</v>
      </c>
      <c r="Q20" s="43">
        <f t="shared" si="8"/>
        <v>9.98983275076538</v>
      </c>
      <c r="R20" s="43">
        <f t="shared" si="8"/>
        <v>11.844509379540893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</row>
    <row r="21" spans="1:99" ht="12.75">
      <c r="A21" s="3" t="s">
        <v>13</v>
      </c>
      <c r="B21" s="43">
        <f aca="true" t="shared" si="9" ref="B21:G21">AVERAGE(B$97:B$111)</f>
        <v>0.09916722753739766</v>
      </c>
      <c r="C21" s="43">
        <f t="shared" si="9"/>
        <v>0.10612994619469719</v>
      </c>
      <c r="D21" s="43">
        <f t="shared" si="9"/>
        <v>0.10487956467891654</v>
      </c>
      <c r="E21" s="43">
        <f t="shared" si="9"/>
        <v>0.07911845687010985</v>
      </c>
      <c r="F21" s="43">
        <f t="shared" si="9"/>
        <v>0.10341182834073791</v>
      </c>
      <c r="G21" s="43">
        <f t="shared" si="9"/>
        <v>0.10826343120222605</v>
      </c>
      <c r="I21"/>
      <c r="J21"/>
      <c r="K21" s="25">
        <f>+N21-'Annual Total Returns'!C21</f>
        <v>0.21533783539603313</v>
      </c>
      <c r="L21" s="3" t="s">
        <v>13</v>
      </c>
      <c r="M21" s="43">
        <f aca="true" t="shared" si="10" ref="M21:R21">AVERAGE(M$97:M$111)</f>
        <v>10.638467333333331</v>
      </c>
      <c r="N21" s="43">
        <f t="shared" si="10"/>
        <v>11.519845367159053</v>
      </c>
      <c r="O21" s="43">
        <f t="shared" si="10"/>
        <v>11.337431197666103</v>
      </c>
      <c r="P21" s="43">
        <f t="shared" si="10"/>
        <v>8.407809360993234</v>
      </c>
      <c r="Q21" s="43">
        <f t="shared" si="10"/>
        <v>11.13972532374857</v>
      </c>
      <c r="R21" s="43">
        <f t="shared" si="10"/>
        <v>11.867778938395427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</row>
    <row r="22" spans="1:99" ht="18" customHeight="1">
      <c r="A22" s="8" t="s">
        <v>8</v>
      </c>
      <c r="B22" s="43"/>
      <c r="C22" s="43"/>
      <c r="D22" s="43"/>
      <c r="E22" s="43"/>
      <c r="F22" s="43"/>
      <c r="G22" s="43"/>
      <c r="I22"/>
      <c r="J22"/>
      <c r="K22"/>
      <c r="L22" s="8" t="s">
        <v>8</v>
      </c>
      <c r="M22" s="43"/>
      <c r="N22" s="43"/>
      <c r="O22" s="43"/>
      <c r="P22" s="43"/>
      <c r="Q22" s="43"/>
      <c r="R22" s="43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</row>
    <row r="23" spans="1:99" ht="12.75">
      <c r="A23" s="1" t="s">
        <v>10</v>
      </c>
      <c r="B23" s="43">
        <f>STDEV(B$57:B$111)</f>
        <v>0.08561061924511276</v>
      </c>
      <c r="C23" s="43">
        <f>STDEV(C$57:C$111)</f>
        <v>0.11409592587725578</v>
      </c>
      <c r="D23" s="43">
        <f>STDEV(D$57:D$111)</f>
        <v>0.10904721358723667</v>
      </c>
      <c r="E23" s="43">
        <f>STDEV(E$57:E$111)</f>
        <v>0.08505698828881487</v>
      </c>
      <c r="F23" s="43">
        <f>STDEV(F$57:F$111)</f>
        <v>0.10556568874306067</v>
      </c>
      <c r="G23" s="43" t="s">
        <v>21</v>
      </c>
      <c r="I23"/>
      <c r="J23"/>
      <c r="K23" s="25">
        <f>+N23-'Annual Total Returns'!C23</f>
        <v>-0.006592064237738171</v>
      </c>
      <c r="L23" s="1" t="s">
        <v>10</v>
      </c>
      <c r="M23" s="43">
        <f>STDEV(M$57:M$111)</f>
        <v>9.377463285806426</v>
      </c>
      <c r="N23" s="43">
        <f>STDEV(N$57:N$111)</f>
        <v>12.184435693847233</v>
      </c>
      <c r="O23" s="43">
        <f>STDEV(O$57:O$111)</f>
        <v>11.723092664958378</v>
      </c>
      <c r="P23" s="43">
        <f>STDEV(P$57:P$111)</f>
        <v>8.90490383651605</v>
      </c>
      <c r="Q23" s="43">
        <f>STDEV(Q$57:Q$111)</f>
        <v>9.943497290907334</v>
      </c>
      <c r="R23" s="43" t="s">
        <v>21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</row>
    <row r="24" spans="1:99" ht="12.75">
      <c r="A24" s="1" t="s">
        <v>11</v>
      </c>
      <c r="B24" s="43">
        <f aca="true" t="shared" si="11" ref="B24:G24">STDEV(B$77:B$111)</f>
        <v>0.09507512767353649</v>
      </c>
      <c r="C24" s="43">
        <f t="shared" si="11"/>
        <v>0.12841218906839919</v>
      </c>
      <c r="D24" s="43">
        <f t="shared" si="11"/>
        <v>0.1216777570279668</v>
      </c>
      <c r="E24" s="43">
        <f t="shared" si="11"/>
        <v>0.09572957121608497</v>
      </c>
      <c r="F24" s="43">
        <f t="shared" si="11"/>
        <v>0.12598727657807296</v>
      </c>
      <c r="G24" s="43">
        <f t="shared" si="11"/>
        <v>0.1449651376216168</v>
      </c>
      <c r="I24"/>
      <c r="J24"/>
      <c r="K24" s="25">
        <f>+N24-'Annual Total Returns'!C24</f>
        <v>-0.034427617451283865</v>
      </c>
      <c r="L24" s="1" t="s">
        <v>11</v>
      </c>
      <c r="M24" s="43">
        <f aca="true" t="shared" si="12" ref="M24:R24">STDEV(M$77:M$111)</f>
        <v>10.329478798904576</v>
      </c>
      <c r="N24" s="43">
        <f t="shared" si="12"/>
        <v>13.453152062640275</v>
      </c>
      <c r="O24" s="43">
        <f t="shared" si="12"/>
        <v>12.845777101553681</v>
      </c>
      <c r="P24" s="43">
        <f t="shared" si="12"/>
        <v>9.876260848399355</v>
      </c>
      <c r="Q24" s="43">
        <f t="shared" si="12"/>
        <v>11.625276602655951</v>
      </c>
      <c r="R24" s="43">
        <f t="shared" si="12"/>
        <v>13.987462286973585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</row>
    <row r="25" spans="1:99" ht="12.75">
      <c r="A25" s="3" t="s">
        <v>12</v>
      </c>
      <c r="B25" s="43">
        <f aca="true" t="shared" si="13" ref="B25:G25">STDEV(B$87:B$111)</f>
        <v>0.0769602343088046</v>
      </c>
      <c r="C25" s="43">
        <f t="shared" si="13"/>
        <v>0.09846738436217024</v>
      </c>
      <c r="D25" s="43">
        <f t="shared" si="13"/>
        <v>0.09088003468381566</v>
      </c>
      <c r="E25" s="43">
        <f t="shared" si="13"/>
        <v>0.07340611940459224</v>
      </c>
      <c r="F25" s="43">
        <f t="shared" si="13"/>
        <v>0.09104586551513645</v>
      </c>
      <c r="G25" s="43">
        <f t="shared" si="13"/>
        <v>0.09339193867275694</v>
      </c>
      <c r="I25"/>
      <c r="J25"/>
      <c r="K25" s="25">
        <f>+N25-'Annual Total Returns'!C25</f>
        <v>0.19809226381101475</v>
      </c>
      <c r="L25" s="3" t="s">
        <v>12</v>
      </c>
      <c r="M25" s="43">
        <f aca="true" t="shared" si="14" ref="M25:R25">STDEV(M$87:M$111)</f>
        <v>8.445246732353365</v>
      </c>
      <c r="N25" s="43">
        <f t="shared" si="14"/>
        <v>10.76763161697065</v>
      </c>
      <c r="O25" s="43">
        <f t="shared" si="14"/>
        <v>9.957564282891115</v>
      </c>
      <c r="P25" s="43">
        <f t="shared" si="14"/>
        <v>7.8321338037307076</v>
      </c>
      <c r="Q25" s="43">
        <f t="shared" si="14"/>
        <v>9.189867881744926</v>
      </c>
      <c r="R25" s="43">
        <f t="shared" si="14"/>
        <v>10.345797083965518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</row>
    <row r="26" spans="1:99" ht="12.75">
      <c r="A26" s="3" t="s">
        <v>13</v>
      </c>
      <c r="B26" s="43">
        <f aca="true" t="shared" si="15" ref="B26:G26">STDEV(B$97:B$111)</f>
        <v>0.06477753905773408</v>
      </c>
      <c r="C26" s="43">
        <f t="shared" si="15"/>
        <v>0.07870780710126986</v>
      </c>
      <c r="D26" s="43">
        <f t="shared" si="15"/>
        <v>0.07330099866367483</v>
      </c>
      <c r="E26" s="43">
        <f t="shared" si="15"/>
        <v>0.0586756185672493</v>
      </c>
      <c r="F26" s="43">
        <f t="shared" si="15"/>
        <v>0.06889482431133365</v>
      </c>
      <c r="G26" s="43">
        <f t="shared" si="15"/>
        <v>0.09122731013506062</v>
      </c>
      <c r="I26"/>
      <c r="J26"/>
      <c r="K26" s="25">
        <f>+N26-'Annual Total Returns'!C26</f>
        <v>0.35361972602931147</v>
      </c>
      <c r="L26" s="3" t="s">
        <v>13</v>
      </c>
      <c r="M26" s="43">
        <f aca="true" t="shared" si="16" ref="M26:R26">STDEV(M$97:M$111)</f>
        <v>7.018321963482934</v>
      </c>
      <c r="N26" s="43">
        <f t="shared" si="16"/>
        <v>8.83772962041432</v>
      </c>
      <c r="O26" s="43">
        <f t="shared" si="16"/>
        <v>8.208111521549187</v>
      </c>
      <c r="P26" s="43">
        <f t="shared" si="16"/>
        <v>6.39280820363333</v>
      </c>
      <c r="Q26" s="43">
        <f t="shared" si="16"/>
        <v>7.615270373747135</v>
      </c>
      <c r="R26" s="43">
        <f t="shared" si="16"/>
        <v>10.212742630305591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</row>
    <row r="27" spans="1:99" ht="18" customHeight="1">
      <c r="A27" s="9" t="s">
        <v>17</v>
      </c>
      <c r="B27" s="43"/>
      <c r="C27" s="43"/>
      <c r="D27" s="43"/>
      <c r="E27" s="43"/>
      <c r="F27" s="43"/>
      <c r="G27" s="43"/>
      <c r="I27"/>
      <c r="J27"/>
      <c r="K27"/>
      <c r="L27" s="9" t="s">
        <v>17</v>
      </c>
      <c r="M27" s="43"/>
      <c r="N27" s="43"/>
      <c r="O27" s="43"/>
      <c r="P27" s="43"/>
      <c r="Q27" s="43"/>
      <c r="R27" s="43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</row>
    <row r="28" spans="1:99" ht="12.75">
      <c r="A28" s="1" t="s">
        <v>10</v>
      </c>
      <c r="B28" s="44">
        <f>CORREL(B58:B111,B57:B110)</f>
        <v>0.284155959315272</v>
      </c>
      <c r="C28" s="44">
        <f>CORREL(C58:C111,C57:C110)</f>
        <v>0.013174006806250364</v>
      </c>
      <c r="D28" s="44">
        <f>CORREL(D58:D111,D57:D110)</f>
        <v>-0.043512782836553764</v>
      </c>
      <c r="E28" s="44">
        <f>CORREL(E58:E111,E57:E110)</f>
        <v>0.013174006806250412</v>
      </c>
      <c r="F28" s="44">
        <f>CORREL(F58:F111,F57:F110)</f>
        <v>-0.022724906324064646</v>
      </c>
      <c r="G28" s="43" t="s">
        <v>21</v>
      </c>
      <c r="I28"/>
      <c r="J28"/>
      <c r="K28"/>
      <c r="L28" s="1" t="s">
        <v>10</v>
      </c>
      <c r="M28" s="44">
        <f>CORREL(M58:M111,M57:M110)</f>
        <v>0.3126270420658566</v>
      </c>
      <c r="N28" s="44">
        <f>CORREL(N58:N111,N57:N110)</f>
        <v>0.04661254363394119</v>
      </c>
      <c r="O28" s="44">
        <f>CORREL(O58:O111,O57:O110)</f>
        <v>-0.01543861887428255</v>
      </c>
      <c r="P28" s="44">
        <f>CORREL(P58:P111,P57:P110)</f>
        <v>0.0383612023298571</v>
      </c>
      <c r="Q28" s="44">
        <f>CORREL(Q58:Q111,Q57:Q110)</f>
        <v>0.003161129710349292</v>
      </c>
      <c r="R28" s="43" t="s">
        <v>21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</row>
    <row r="29" spans="1:99" ht="12.75">
      <c r="A29" s="1" t="s">
        <v>11</v>
      </c>
      <c r="B29" s="44">
        <f aca="true" t="shared" si="17" ref="B29:G29">CORREL(B78:B111,B77:B110)</f>
        <v>0.2510674028217524</v>
      </c>
      <c r="C29" s="44">
        <f t="shared" si="17"/>
        <v>0.01598346641550596</v>
      </c>
      <c r="D29" s="44">
        <f t="shared" si="17"/>
        <v>-0.05057777015545921</v>
      </c>
      <c r="E29" s="44">
        <f t="shared" si="17"/>
        <v>0.01598346641550596</v>
      </c>
      <c r="F29" s="44">
        <f t="shared" si="17"/>
        <v>-0.03184170990259049</v>
      </c>
      <c r="G29" s="44">
        <f t="shared" si="17"/>
        <v>0.022396678884775277</v>
      </c>
      <c r="I29"/>
      <c r="J29"/>
      <c r="K29"/>
      <c r="L29" s="1" t="s">
        <v>11</v>
      </c>
      <c r="M29" s="44">
        <f aca="true" t="shared" si="18" ref="M29:R29">CORREL(M78:M111,M77:M110)</f>
        <v>0.28170029843189404</v>
      </c>
      <c r="N29" s="44">
        <f t="shared" si="18"/>
        <v>0.05075791278915981</v>
      </c>
      <c r="O29" s="44">
        <f t="shared" si="18"/>
        <v>-0.023872936348322955</v>
      </c>
      <c r="P29" s="44">
        <f t="shared" si="18"/>
        <v>0.04205333985553688</v>
      </c>
      <c r="Q29" s="44">
        <f t="shared" si="18"/>
        <v>-0.014346708063090128</v>
      </c>
      <c r="R29" s="44">
        <f t="shared" si="18"/>
        <v>0.07071764814582322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</row>
    <row r="30" spans="1:99" ht="12.75">
      <c r="A30" s="3" t="s">
        <v>12</v>
      </c>
      <c r="B30" s="44">
        <f aca="true" t="shared" si="19" ref="B30:G30">CORREL(B88:B111,B87:B110)</f>
        <v>0.41821305116119595</v>
      </c>
      <c r="C30" s="44">
        <f t="shared" si="19"/>
        <v>0.2802543637243754</v>
      </c>
      <c r="D30" s="44">
        <f t="shared" si="19"/>
        <v>0.23905962679105286</v>
      </c>
      <c r="E30" s="44">
        <f t="shared" si="19"/>
        <v>0.28025436372437545</v>
      </c>
      <c r="F30" s="44">
        <f t="shared" si="19"/>
        <v>0.19080418888570394</v>
      </c>
      <c r="G30" s="44">
        <f t="shared" si="19"/>
        <v>0.2110382455931982</v>
      </c>
      <c r="I30"/>
      <c r="J30"/>
      <c r="K30"/>
      <c r="L30" s="3" t="s">
        <v>12</v>
      </c>
      <c r="M30" s="44">
        <f aca="true" t="shared" si="20" ref="M30:R30">CORREL(M88:M111,M87:M110)</f>
        <v>0.42030109576011254</v>
      </c>
      <c r="N30" s="44">
        <f t="shared" si="20"/>
        <v>0.279933987617025</v>
      </c>
      <c r="O30" s="44">
        <f t="shared" si="20"/>
        <v>0.24118778852380132</v>
      </c>
      <c r="P30" s="44">
        <f t="shared" si="20"/>
        <v>0.2803941364171387</v>
      </c>
      <c r="Q30" s="44">
        <f t="shared" si="20"/>
        <v>0.19826706231138178</v>
      </c>
      <c r="R30" s="44">
        <f t="shared" si="20"/>
        <v>0.20236928152496372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</row>
    <row r="31" spans="1:99" ht="12.75">
      <c r="A31" s="3" t="s">
        <v>13</v>
      </c>
      <c r="B31" s="44">
        <f aca="true" t="shared" si="21" ref="B31:G31">CORREL(B98:B111,B97:B110)</f>
        <v>0.2861509335188423</v>
      </c>
      <c r="C31" s="44">
        <f t="shared" si="21"/>
        <v>-0.008836317552061457</v>
      </c>
      <c r="D31" s="44">
        <f t="shared" si="21"/>
        <v>-0.06643304347427097</v>
      </c>
      <c r="E31" s="44">
        <f t="shared" si="21"/>
        <v>-0.008836317552061367</v>
      </c>
      <c r="F31" s="44">
        <f t="shared" si="21"/>
        <v>0.09050557226632759</v>
      </c>
      <c r="G31" s="44">
        <f t="shared" si="21"/>
        <v>-0.036396430703113984</v>
      </c>
      <c r="I31"/>
      <c r="J31"/>
      <c r="K31"/>
      <c r="L31" s="3" t="s">
        <v>13</v>
      </c>
      <c r="M31" s="44">
        <f aca="true" t="shared" si="22" ref="M31:R31">CORREL(M98:M111,M97:M110)</f>
        <v>0.26610950010614104</v>
      </c>
      <c r="N31" s="44">
        <f t="shared" si="22"/>
        <v>-0.03377075977722992</v>
      </c>
      <c r="O31" s="44">
        <f t="shared" si="22"/>
        <v>-0.08828540173769898</v>
      </c>
      <c r="P31" s="44">
        <f t="shared" si="22"/>
        <v>-0.027522361204610796</v>
      </c>
      <c r="Q31" s="44">
        <f t="shared" si="22"/>
        <v>0.07114890950646933</v>
      </c>
      <c r="R31" s="44">
        <f t="shared" si="22"/>
        <v>-0.05390168777464226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</row>
    <row r="32" spans="1:99" ht="18" customHeight="1">
      <c r="A32" s="9" t="s">
        <v>63</v>
      </c>
      <c r="B32" s="44"/>
      <c r="C32" s="44"/>
      <c r="D32" s="44"/>
      <c r="E32" s="44"/>
      <c r="F32" s="44"/>
      <c r="G32" s="44"/>
      <c r="I32"/>
      <c r="J32"/>
      <c r="K32"/>
      <c r="L32" s="9" t="s">
        <v>63</v>
      </c>
      <c r="M32" s="44"/>
      <c r="N32" s="44"/>
      <c r="O32" s="44"/>
      <c r="P32" s="44"/>
      <c r="Q32" s="44"/>
      <c r="R32" s="44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</row>
    <row r="33" spans="1:99" ht="12.75">
      <c r="A33" s="1" t="s">
        <v>10</v>
      </c>
      <c r="B33" s="44">
        <f>IF(B28&gt;0,TDIST(B28/SQRT((1-B28^2)/52),52,2),TDIST(-B28/SQRT((1-B28^2)/52),52,2))</f>
        <v>0.037306791704728434</v>
      </c>
      <c r="C33" s="44">
        <f>IF(C28&gt;0,TDIST(C28/SQRT((1-C28^2)/52),52,2),TDIST(-C28/SQRT((1-C28^2)/52),52,2))</f>
        <v>0.9246741558675252</v>
      </c>
      <c r="D33" s="44">
        <f>IF(D28&gt;0,TDIST(D28/SQRT((1-D28^2)/52),52,2),TDIST(-D28/SQRT((1-D28^2)/52),52,2))</f>
        <v>0.7547224777968404</v>
      </c>
      <c r="E33" s="44">
        <f>IF(E28&gt;0,TDIST(E28/SQRT((1-E28^2)/52),52,2),TDIST(-E28/SQRT((1-E28^2)/52),52,2))</f>
        <v>0.9246741558675252</v>
      </c>
      <c r="F33" s="44">
        <f>IF(F28&gt;0,TDIST(F28/SQRT((1-F28^2)/52),52,2),TDIST(-F28/SQRT((1-F28^2)/52),52,2))</f>
        <v>0.8704343301923078</v>
      </c>
      <c r="G33" s="43" t="s">
        <v>21</v>
      </c>
      <c r="I33"/>
      <c r="J33"/>
      <c r="K33"/>
      <c r="L33" s="1" t="s">
        <v>10</v>
      </c>
      <c r="M33" s="44">
        <f>IF(M28&gt;0,TDIST(M28/SQRT((1-M28^2)/52),52,2),TDIST(-M28/SQRT((1-M28^2)/52),52,2))</f>
        <v>0.021357902222804346</v>
      </c>
      <c r="N33" s="44">
        <f>IF(N28&gt;0,TDIST(N28/SQRT((1-N28^2)/52),52,2),TDIST(-N28/SQRT((1-N28^2)/52),52,2))</f>
        <v>0.7378528935225377</v>
      </c>
      <c r="O33" s="44">
        <f>IF(O28&gt;0,TDIST(O28/SQRT((1-O28^2)/52),52,2),TDIST(-O28/SQRT((1-O28^2)/52),52,2))</f>
        <v>0.9117732347596478</v>
      </c>
      <c r="P33" s="44">
        <f>IF(P28&gt;0,TDIST(P28/SQRT((1-P28^2)/52),52,2),TDIST(-P28/SQRT((1-P28^2)/52),52,2))</f>
        <v>0.7830078468195847</v>
      </c>
      <c r="Q33" s="44">
        <f>IF(Q28&gt;0,TDIST(Q28/SQRT((1-Q28^2)/52),52,2),TDIST(-Q28/SQRT((1-Q28^2)/52),52,2))</f>
        <v>0.9819007716069227</v>
      </c>
      <c r="R33" s="43" t="s">
        <v>21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</row>
    <row r="34" spans="1:99" ht="12.75">
      <c r="A34" s="1" t="s">
        <v>11</v>
      </c>
      <c r="B34" s="44">
        <f aca="true" t="shared" si="23" ref="B34:G34">IF(B29&gt;0,TDIST(B29/SQRT((1-B29^2)/32),32,2),TDIST(-B29/SQRT((1-B29^2)/32),32,2))</f>
        <v>0.1520689024800722</v>
      </c>
      <c r="C34" s="44">
        <f t="shared" si="23"/>
        <v>0.9285110132446521</v>
      </c>
      <c r="D34" s="44">
        <f t="shared" si="23"/>
        <v>0.7763588935035841</v>
      </c>
      <c r="E34" s="44">
        <f t="shared" si="23"/>
        <v>0.9285110132446521</v>
      </c>
      <c r="F34" s="44">
        <f t="shared" si="23"/>
        <v>0.8581199907769147</v>
      </c>
      <c r="G34" s="44">
        <f t="shared" si="23"/>
        <v>0.899949792504364</v>
      </c>
      <c r="I34"/>
      <c r="J34"/>
      <c r="K34"/>
      <c r="L34" s="1" t="s">
        <v>11</v>
      </c>
      <c r="M34" s="44">
        <f aca="true" t="shared" si="24" ref="M34:R34">IF(M29&gt;0,TDIST(M29/SQRT((1-M29^2)/32),32,2),TDIST(-M29/SQRT((1-M29^2)/32),32,2))</f>
        <v>0.10652321090584149</v>
      </c>
      <c r="N34" s="44">
        <f t="shared" si="24"/>
        <v>0.775582657726575</v>
      </c>
      <c r="O34" s="44">
        <f t="shared" si="24"/>
        <v>0.8933914205844735</v>
      </c>
      <c r="P34" s="44">
        <f t="shared" si="24"/>
        <v>0.8133214160789732</v>
      </c>
      <c r="Q34" s="44">
        <f t="shared" si="24"/>
        <v>0.9358157982779172</v>
      </c>
      <c r="R34" s="44">
        <f t="shared" si="24"/>
        <v>0.6910535497805318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</row>
    <row r="35" spans="1:99" ht="12.75">
      <c r="A35" s="3" t="s">
        <v>12</v>
      </c>
      <c r="B35" s="44">
        <f aca="true" t="shared" si="25" ref="B35:G35">IF(B30&gt;0,TDIST(B30/SQRT((1-B30^2)/22),22,2),TDIST(-B30/SQRT((1-B30^2)/22),22,2))</f>
        <v>0.04197778372693217</v>
      </c>
      <c r="C35" s="44">
        <f t="shared" si="25"/>
        <v>0.1846963708111209</v>
      </c>
      <c r="D35" s="44">
        <f t="shared" si="25"/>
        <v>0.26057336569770007</v>
      </c>
      <c r="E35" s="44">
        <f t="shared" si="25"/>
        <v>0.1846963708111209</v>
      </c>
      <c r="F35" s="44">
        <f t="shared" si="25"/>
        <v>0.37180876164091026</v>
      </c>
      <c r="G35" s="44">
        <f t="shared" si="25"/>
        <v>0.3222289846541565</v>
      </c>
      <c r="I35"/>
      <c r="J35"/>
      <c r="K35"/>
      <c r="L35" s="3" t="s">
        <v>12</v>
      </c>
      <c r="M35" s="44">
        <f aca="true" t="shared" si="26" ref="M35:R35">IF(M30&gt;0,TDIST(M30/SQRT((1-M30^2)/22),22,2),TDIST(-M30/SQRT((1-M30^2)/22),22,2))</f>
        <v>0.04085985766734534</v>
      </c>
      <c r="N35" s="44">
        <f t="shared" si="26"/>
        <v>0.18522003655344588</v>
      </c>
      <c r="O35" s="44">
        <f t="shared" si="26"/>
        <v>0.25622524301401084</v>
      </c>
      <c r="P35" s="44">
        <f t="shared" si="26"/>
        <v>0.18446822700941634</v>
      </c>
      <c r="Q35" s="44">
        <f t="shared" si="26"/>
        <v>0.35303409133404595</v>
      </c>
      <c r="R35" s="44">
        <f t="shared" si="26"/>
        <v>0.3429561620317366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</row>
    <row r="36" spans="1:99" ht="12.75">
      <c r="A36" s="3" t="s">
        <v>13</v>
      </c>
      <c r="B36" s="44">
        <f aca="true" t="shared" si="27" ref="B36:G36">IF(B31&gt;0,TDIST(B31/SQRT((1-B31^2)/12),12,2),TDIST(-B31/SQRT((1-B31^2)/12),12,2))</f>
        <v>0.32129448763687873</v>
      </c>
      <c r="C36" s="44">
        <f t="shared" si="27"/>
        <v>0.9760829247957096</v>
      </c>
      <c r="D36" s="44">
        <f t="shared" si="27"/>
        <v>0.8214794926155977</v>
      </c>
      <c r="E36" s="44">
        <f t="shared" si="27"/>
        <v>0.9760829247957096</v>
      </c>
      <c r="F36" s="44">
        <f t="shared" si="27"/>
        <v>0.7583106849786871</v>
      </c>
      <c r="G36" s="44">
        <f t="shared" si="27"/>
        <v>0.9016909088607478</v>
      </c>
      <c r="I36"/>
      <c r="J36"/>
      <c r="K36"/>
      <c r="L36" s="3" t="s">
        <v>13</v>
      </c>
      <c r="M36" s="44">
        <f aca="true" t="shared" si="28" ref="M36:R36">IF(M31&gt;0,TDIST(M31/SQRT((1-M31^2)/12),12,2),TDIST(-M31/SQRT((1-M31^2)/12),12,2))</f>
        <v>0.3577843752221199</v>
      </c>
      <c r="N36" s="44">
        <f t="shared" si="28"/>
        <v>0.9087550262221314</v>
      </c>
      <c r="O36" s="44">
        <f t="shared" si="28"/>
        <v>0.7640844035639887</v>
      </c>
      <c r="P36" s="44">
        <f t="shared" si="28"/>
        <v>0.9255900814251565</v>
      </c>
      <c r="Q36" s="44">
        <f t="shared" si="28"/>
        <v>0.8090128184186314</v>
      </c>
      <c r="R36" s="44">
        <f t="shared" si="28"/>
        <v>0.8547905485859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</row>
    <row r="37" spans="1:99" ht="18" customHeight="1">
      <c r="A37" s="9" t="s">
        <v>18</v>
      </c>
      <c r="B37" s="43"/>
      <c r="C37" s="38"/>
      <c r="D37" s="38"/>
      <c r="E37" s="38"/>
      <c r="F37" s="38"/>
      <c r="G37" s="38"/>
      <c r="I37"/>
      <c r="J37"/>
      <c r="K37"/>
      <c r="L37" s="9" t="s">
        <v>18</v>
      </c>
      <c r="M37" s="43"/>
      <c r="N37" s="38"/>
      <c r="O37" s="38"/>
      <c r="P37" s="38"/>
      <c r="Q37" s="38"/>
      <c r="R37" s="38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</row>
    <row r="38" spans="1:99" ht="12.75">
      <c r="A38" s="1" t="s">
        <v>10</v>
      </c>
      <c r="B38" s="44">
        <f>CORREL(B59:B$111,B57:B$109)</f>
        <v>0.005167211599283921</v>
      </c>
      <c r="C38" s="44">
        <f>CORREL(C59:C$111,C57:C$109)</f>
        <v>-0.013478494566164024</v>
      </c>
      <c r="D38" s="44">
        <f>CORREL(D59:D$111,D57:D$109)</f>
        <v>0.05173897626502592</v>
      </c>
      <c r="E38" s="44">
        <f>CORREL(E59:E$111,E57:E$109)</f>
        <v>-0.013478494566163967</v>
      </c>
      <c r="F38" s="44">
        <f>CORREL(F59:F$111,F57:F$109)</f>
        <v>-0.07106110099785787</v>
      </c>
      <c r="G38" s="43" t="s">
        <v>21</v>
      </c>
      <c r="I38"/>
      <c r="J38"/>
      <c r="K38"/>
      <c r="L38" s="1" t="s">
        <v>10</v>
      </c>
      <c r="M38" s="44">
        <f>CORREL(M59:M$111,M57:M$109)</f>
        <v>0.020923903493453647</v>
      </c>
      <c r="N38" s="44">
        <f>CORREL(N59:N$111,N57:N$109)</f>
        <v>0.019904194285966542</v>
      </c>
      <c r="O38" s="44">
        <f>CORREL(O59:O$111,O57:O$109)</f>
        <v>0.08809564780381177</v>
      </c>
      <c r="P38" s="44">
        <f>CORREL(P59:P$111,P57:P$109)</f>
        <v>0.011154570237823363</v>
      </c>
      <c r="Q38" s="44">
        <f>CORREL(Q59:Q$111,Q57:Q$109)</f>
        <v>-0.07219525751131702</v>
      </c>
      <c r="R38" s="43" t="s">
        <v>21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</row>
    <row r="39" spans="1:99" ht="12.75">
      <c r="A39" s="1" t="s">
        <v>11</v>
      </c>
      <c r="B39" s="44">
        <f>CORREL(B79:B$111,B77:B$109)</f>
        <v>-0.14850974892493365</v>
      </c>
      <c r="C39" s="44">
        <f>CORREL(C79:C$111,C77:C$109)</f>
        <v>-0.13766061665333335</v>
      </c>
      <c r="D39" s="44">
        <f>CORREL(D79:D$111,D77:D$109)</f>
        <v>-0.0806107977324335</v>
      </c>
      <c r="E39" s="44">
        <f>CORREL(E79:E$111,E77:E$109)</f>
        <v>-0.13766061665333326</v>
      </c>
      <c r="F39" s="44">
        <f>CORREL(F79:F$111,F77:F$109)</f>
        <v>-0.08456218277578596</v>
      </c>
      <c r="G39" s="44">
        <f>CORREL(G79:G$111,G77:G$109)</f>
        <v>-0.20949488307074618</v>
      </c>
      <c r="I39"/>
      <c r="J39"/>
      <c r="K39"/>
      <c r="L39" s="1" t="s">
        <v>11</v>
      </c>
      <c r="M39" s="44">
        <f>CORREL(M79:M$111,M77:M$109)</f>
        <v>-0.15570705244001878</v>
      </c>
      <c r="N39" s="44">
        <f>CORREL(N79:N$111,N77:N$109)</f>
        <v>-0.14206434614554567</v>
      </c>
      <c r="O39" s="44">
        <f>CORREL(O79:O$111,O77:O$109)</f>
        <v>-0.07934464195780497</v>
      </c>
      <c r="P39" s="44">
        <f>CORREL(P79:P$111,P77:P$109)</f>
        <v>-0.14138424703297725</v>
      </c>
      <c r="Q39" s="44">
        <f>CORREL(Q79:Q$111,Q77:Q$109)</f>
        <v>-0.09937845280567709</v>
      </c>
      <c r="R39" s="44">
        <f>CORREL(R79:R$111,R77:R$109)</f>
        <v>-0.24816973734925848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</row>
    <row r="40" spans="1:99" ht="12.75">
      <c r="A40" s="3" t="s">
        <v>12</v>
      </c>
      <c r="B40" s="44">
        <f>CORREL(B89:B$111,B87:B$109)</f>
        <v>-0.22751256319787286</v>
      </c>
      <c r="C40" s="44">
        <f>CORREL(C89:C$111,C87:C$109)</f>
        <v>-0.24696101522761937</v>
      </c>
      <c r="D40" s="44">
        <f>CORREL(D89:D$111,D87:D$109)</f>
        <v>-0.19819771262316174</v>
      </c>
      <c r="E40" s="44">
        <f>CORREL(E89:E$111,E87:E$109)</f>
        <v>-0.24696101522761926</v>
      </c>
      <c r="F40" s="44">
        <f>CORREL(F89:F$111,F87:F$109)</f>
        <v>-0.07796600871304685</v>
      </c>
      <c r="G40" s="44">
        <f>CORREL(G89:G$111,G87:G$109)</f>
        <v>-0.3174160477750831</v>
      </c>
      <c r="I40"/>
      <c r="J40"/>
      <c r="K40"/>
      <c r="L40" s="3" t="s">
        <v>12</v>
      </c>
      <c r="M40" s="44">
        <f>CORREL(M89:M$111,M87:M$109)</f>
        <v>-0.2451919378438902</v>
      </c>
      <c r="N40" s="44">
        <f>CORREL(N89:N$111,N87:N$109)</f>
        <v>-0.2743103202077784</v>
      </c>
      <c r="O40" s="44">
        <f>CORREL(O89:O$111,O87:O$109)</f>
        <v>-0.22707802919734293</v>
      </c>
      <c r="P40" s="44">
        <f>CORREL(P89:P$111,P87:P$109)</f>
        <v>-0.26805621677662217</v>
      </c>
      <c r="Q40" s="44">
        <f>CORREL(Q89:Q$111,Q87:Q$109)</f>
        <v>-0.11444608067965406</v>
      </c>
      <c r="R40" s="44">
        <f>CORREL(R89:R$111,R87:R$109)</f>
        <v>-0.33453684912224374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</row>
    <row r="41" spans="1:99" ht="12.75">
      <c r="A41" s="3" t="s">
        <v>13</v>
      </c>
      <c r="B41" s="44">
        <f>CORREL(B99:B$111,B97:B$109)</f>
        <v>-0.5620065171616515</v>
      </c>
      <c r="C41" s="44">
        <f>CORREL(C99:C$111,C97:C$109)</f>
        <v>-0.5700407742802986</v>
      </c>
      <c r="D41" s="44">
        <f>CORREL(D99:D$111,D97:D$109)</f>
        <v>-0.46381191468793653</v>
      </c>
      <c r="E41" s="44">
        <f>CORREL(E99:E$111,E97:E$109)</f>
        <v>-0.5700407742802986</v>
      </c>
      <c r="F41" s="44">
        <f>CORREL(F99:F$111,F97:F$109)</f>
        <v>-0.5762880876751907</v>
      </c>
      <c r="G41" s="44">
        <f>CORREL(G99:G$111,G97:G$109)</f>
        <v>-0.5708390186774097</v>
      </c>
      <c r="I41"/>
      <c r="J41"/>
      <c r="K41"/>
      <c r="L41" s="3" t="s">
        <v>13</v>
      </c>
      <c r="M41" s="44">
        <f>CORREL(M99:M$111,M97:M$109)</f>
        <v>-0.5654604087379433</v>
      </c>
      <c r="N41" s="44">
        <f>CORREL(N99:N$111,N97:N$109)</f>
        <v>-0.5643503842610892</v>
      </c>
      <c r="O41" s="44">
        <f>CORREL(O99:O$111,O97:O$109)</f>
        <v>-0.46696335625802793</v>
      </c>
      <c r="P41" s="44">
        <f>CORREL(P99:P$111,P97:P$109)</f>
        <v>-0.5661676926873678</v>
      </c>
      <c r="Q41" s="44">
        <f>CORREL(Q99:Q$111,Q97:Q$109)</f>
        <v>-0.5762905232834479</v>
      </c>
      <c r="R41" s="44">
        <f>CORREL(R99:R$111,R97:R$109)</f>
        <v>-0.5646994431342744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</row>
    <row r="42" spans="1:99" ht="18" customHeight="1">
      <c r="A42" s="9" t="s">
        <v>64</v>
      </c>
      <c r="B42" s="44"/>
      <c r="C42" s="44"/>
      <c r="D42" s="44"/>
      <c r="E42" s="44"/>
      <c r="F42" s="44"/>
      <c r="G42" s="44"/>
      <c r="I42"/>
      <c r="J42"/>
      <c r="K42"/>
      <c r="L42" s="9" t="s">
        <v>64</v>
      </c>
      <c r="M42" s="44"/>
      <c r="N42" s="44"/>
      <c r="O42" s="44"/>
      <c r="P42" s="44"/>
      <c r="Q42" s="44"/>
      <c r="R42" s="44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</row>
    <row r="43" spans="1:99" ht="12.75">
      <c r="A43" s="1" t="s">
        <v>10</v>
      </c>
      <c r="B43" s="44">
        <f>IF(B38&gt;0,TDIST(B38/SQRT((1-B38^2)/51),51,2),TDIST(-B38/SQRT((1-B38^2)/51),51,2))</f>
        <v>0.9707073982537813</v>
      </c>
      <c r="C43" s="44">
        <f>IF(C38&gt;0,TDIST(C38/SQRT((1-C38^2)/52),52,2),TDIST(-C38/SQRT((1-C38^2)/52),52,2))</f>
        <v>0.9229383732105956</v>
      </c>
      <c r="D43" s="44">
        <f>IF(D38&gt;0,TDIST(D38/SQRT((1-D38^2)/52),52,2),TDIST(-D38/SQRT((1-D38^2)/52),52,2))</f>
        <v>0.7102241949430668</v>
      </c>
      <c r="E43" s="44">
        <f>IF(E38&gt;0,TDIST(E38/SQRT((1-E38^2)/52),52,2),TDIST(-E38/SQRT((1-E38^2)/52),52,2))</f>
        <v>0.9229383732105956</v>
      </c>
      <c r="F43" s="44">
        <f>IF(F38&gt;0,TDIST(F38/SQRT((1-F38^2)/52),52,2),TDIST(-F38/SQRT((1-F38^2)/52),52,2))</f>
        <v>0.6096185970278309</v>
      </c>
      <c r="G43" s="43" t="s">
        <v>21</v>
      </c>
      <c r="I43"/>
      <c r="J43"/>
      <c r="K43"/>
      <c r="L43" s="1" t="s">
        <v>10</v>
      </c>
      <c r="M43" s="44">
        <f>IF(M38&gt;0,TDIST(M38/SQRT((1-M38^2)/51),51,2),TDIST(-M38/SQRT((1-M38^2)/51),51,2))</f>
        <v>0.8817807175042958</v>
      </c>
      <c r="N43" s="44">
        <f>IF(N38&gt;0,TDIST(N38/SQRT((1-N38^2)/52),52,2),TDIST(-N38/SQRT((1-N38^2)/52),52,2))</f>
        <v>0.8864031156158177</v>
      </c>
      <c r="O43" s="44">
        <f>IF(O38&gt;0,TDIST(O38/SQRT((1-O38^2)/52),52,2),TDIST(-O38/SQRT((1-O38^2)/52),52,2))</f>
        <v>0.526437262839327</v>
      </c>
      <c r="P43" s="44">
        <f>IF(P38&gt;0,TDIST(P38/SQRT((1-P38^2)/52),52,2),TDIST(-P38/SQRT((1-P38^2)/52),52,2))</f>
        <v>0.9361947208524836</v>
      </c>
      <c r="Q43" s="44">
        <f>IF(Q38&gt;0,TDIST(Q38/SQRT((1-Q38^2)/52),52,2),TDIST(-Q38/SQRT((1-Q38^2)/52),52,2))</f>
        <v>0.6039080476675006</v>
      </c>
      <c r="R43" s="43" t="s">
        <v>21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</row>
    <row r="44" spans="1:99" ht="12.75">
      <c r="A44" s="1" t="s">
        <v>11</v>
      </c>
      <c r="B44" s="44">
        <f aca="true" t="shared" si="29" ref="B44:G44">IF(B39&gt;0,TDIST(B39/SQRT((1-B39^2)/32),32,2),TDIST(-B39/SQRT((1-B39^2)/32),32,2))</f>
        <v>0.40190404581102657</v>
      </c>
      <c r="C44" s="44">
        <f t="shared" si="29"/>
        <v>0.4375273614268018</v>
      </c>
      <c r="D44" s="44">
        <f t="shared" si="29"/>
        <v>0.6504083056107184</v>
      </c>
      <c r="E44" s="44">
        <f t="shared" si="29"/>
        <v>0.4375273614268018</v>
      </c>
      <c r="F44" s="44">
        <f t="shared" si="29"/>
        <v>0.6344391794895381</v>
      </c>
      <c r="G44" s="44">
        <f t="shared" si="29"/>
        <v>0.23439478815039794</v>
      </c>
      <c r="I44"/>
      <c r="J44"/>
      <c r="K44"/>
      <c r="L44" s="1" t="s">
        <v>11</v>
      </c>
      <c r="M44" s="44">
        <f aca="true" t="shared" si="30" ref="M44:R44">IF(M39&gt;0,TDIST(M39/SQRT((1-M39^2)/32),32,2),TDIST(-M39/SQRT((1-M39^2)/32),32,2))</f>
        <v>0.37921647837557804</v>
      </c>
      <c r="N44" s="44">
        <f t="shared" si="30"/>
        <v>0.4228636524514744</v>
      </c>
      <c r="O44" s="44">
        <f t="shared" si="30"/>
        <v>0.6555582935280426</v>
      </c>
      <c r="P44" s="44">
        <f t="shared" si="30"/>
        <v>0.42511020043933057</v>
      </c>
      <c r="Q44" s="44">
        <f t="shared" si="30"/>
        <v>0.5760364335053377</v>
      </c>
      <c r="R44" s="44">
        <f t="shared" si="30"/>
        <v>0.15701278725285583</v>
      </c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</row>
    <row r="45" spans="1:99" ht="12.75">
      <c r="A45" s="3" t="s">
        <v>12</v>
      </c>
      <c r="B45" s="44">
        <f aca="true" t="shared" si="31" ref="B45:G45">IF(B40&gt;0,TDIST(B40/SQRT((1-B40^2)/22),22,2),TDIST(-B40/SQRT((1-B40^2)/22),22,2))</f>
        <v>0.28498872217119653</v>
      </c>
      <c r="C45" s="44">
        <f t="shared" si="31"/>
        <v>0.2446669844330599</v>
      </c>
      <c r="D45" s="44">
        <f t="shared" si="31"/>
        <v>0.35320594471222655</v>
      </c>
      <c r="E45" s="44">
        <f t="shared" si="31"/>
        <v>0.2446669844330599</v>
      </c>
      <c r="F45" s="44">
        <f t="shared" si="31"/>
        <v>0.7172655435611841</v>
      </c>
      <c r="G45" s="44">
        <f t="shared" si="31"/>
        <v>0.13068642602480918</v>
      </c>
      <c r="I45"/>
      <c r="J45"/>
      <c r="K45"/>
      <c r="L45" s="3" t="s">
        <v>12</v>
      </c>
      <c r="M45" s="44">
        <f aca="true" t="shared" si="32" ref="M45:R45">IF(M40&gt;0,TDIST(M40/SQRT((1-M40^2)/22),22,2),TDIST(-M40/SQRT((1-M40^2)/22),22,2))</f>
        <v>0.24817195900954625</v>
      </c>
      <c r="N45" s="44">
        <f t="shared" si="32"/>
        <v>0.19457877402995494</v>
      </c>
      <c r="O45" s="44">
        <f t="shared" si="32"/>
        <v>0.285934671671792</v>
      </c>
      <c r="P45" s="44">
        <f t="shared" si="32"/>
        <v>0.20535966281932527</v>
      </c>
      <c r="Q45" s="44">
        <f t="shared" si="32"/>
        <v>0.5943842972165573</v>
      </c>
      <c r="R45" s="44">
        <f t="shared" si="32"/>
        <v>0.11008078334767392</v>
      </c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</row>
    <row r="46" spans="1:99" ht="12.75">
      <c r="A46" s="3" t="s">
        <v>13</v>
      </c>
      <c r="B46" s="44">
        <f aca="true" t="shared" si="33" ref="B46:G46">IF(B41&gt;0,TDIST(B41/SQRT((1-B41^2)/12),12,2),TDIST(-B41/SQRT((1-B41^2)/12),12,2))</f>
        <v>0.03646460036756008</v>
      </c>
      <c r="C46" s="44">
        <f t="shared" si="33"/>
        <v>0.033310986573980364</v>
      </c>
      <c r="D46" s="44">
        <f t="shared" si="33"/>
        <v>0.09481531830563518</v>
      </c>
      <c r="E46" s="44">
        <f t="shared" si="33"/>
        <v>0.033310986573980364</v>
      </c>
      <c r="F46" s="44">
        <f t="shared" si="33"/>
        <v>0.031002162751678927</v>
      </c>
      <c r="G46" s="44">
        <f t="shared" si="33"/>
        <v>0.0330090915847201</v>
      </c>
      <c r="I46"/>
      <c r="J46"/>
      <c r="K46"/>
      <c r="L46" s="3" t="s">
        <v>13</v>
      </c>
      <c r="M46" s="44">
        <f aca="true" t="shared" si="34" ref="M46:R46">IF(M41&gt;0,TDIST(M41/SQRT((1-M41^2)/12),12,2),TDIST(-M41/SQRT((1-M41^2)/12),12,2))</f>
        <v>0.03508299589849438</v>
      </c>
      <c r="N46" s="44">
        <f t="shared" si="34"/>
        <v>0.03552272541759919</v>
      </c>
      <c r="O46" s="44">
        <f t="shared" si="34"/>
        <v>0.09229785649929584</v>
      </c>
      <c r="P46" s="44">
        <f t="shared" si="34"/>
        <v>0.034804917555191585</v>
      </c>
      <c r="Q46" s="44">
        <f t="shared" si="34"/>
        <v>0.031001286502824563</v>
      </c>
      <c r="R46" s="44">
        <f t="shared" si="34"/>
        <v>0.03538401119349011</v>
      </c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</row>
    <row r="47" spans="2:99" ht="12.75">
      <c r="B47" s="43"/>
      <c r="C47" s="38"/>
      <c r="D47" s="38"/>
      <c r="E47" s="38"/>
      <c r="F47" s="38"/>
      <c r="G47" s="38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</row>
    <row r="48" spans="2:99" ht="12.75">
      <c r="B48" s="43"/>
      <c r="C48" s="38"/>
      <c r="D48" s="38"/>
      <c r="E48" s="38"/>
      <c r="F48" s="38"/>
      <c r="G48" s="3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</row>
    <row r="49" spans="2:99" ht="12.75">
      <c r="B49" s="43"/>
      <c r="C49" s="38"/>
      <c r="D49" s="38"/>
      <c r="E49" s="38"/>
      <c r="F49" s="38"/>
      <c r="G49" s="38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</row>
    <row r="50" spans="1:99" ht="12.75">
      <c r="A50" s="1" t="s">
        <v>0</v>
      </c>
      <c r="B50" s="43"/>
      <c r="C50" s="38"/>
      <c r="D50" s="38"/>
      <c r="E50" s="38"/>
      <c r="F50" s="38"/>
      <c r="G50" s="38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</row>
    <row r="51" spans="2:99" ht="13.5" thickBot="1">
      <c r="B51" s="43"/>
      <c r="C51" s="60" t="s">
        <v>74</v>
      </c>
      <c r="D51" s="34"/>
      <c r="E51" s="35"/>
      <c r="F51" s="34"/>
      <c r="G51" s="34"/>
      <c r="H51" s="1"/>
      <c r="I51"/>
      <c r="J51"/>
      <c r="K51"/>
      <c r="L51" s="1"/>
      <c r="M51" s="43"/>
      <c r="N51" s="60" t="s">
        <v>74</v>
      </c>
      <c r="O51" s="34"/>
      <c r="P51" s="35"/>
      <c r="Q51" s="34"/>
      <c r="R51" s="34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</row>
    <row r="52" spans="2:99" ht="38.25">
      <c r="B52" s="41" t="s">
        <v>60</v>
      </c>
      <c r="C52" s="42" t="s">
        <v>58</v>
      </c>
      <c r="D52" s="42" t="s">
        <v>59</v>
      </c>
      <c r="E52" s="42" t="s">
        <v>4</v>
      </c>
      <c r="F52" s="42" t="s">
        <v>5</v>
      </c>
      <c r="G52" s="42" t="s">
        <v>62</v>
      </c>
      <c r="I52"/>
      <c r="J52"/>
      <c r="K52"/>
      <c r="L52" s="1"/>
      <c r="M52" s="41" t="s">
        <v>60</v>
      </c>
      <c r="N52" s="42" t="s">
        <v>58</v>
      </c>
      <c r="O52" s="42" t="s">
        <v>59</v>
      </c>
      <c r="P52" s="42" t="s">
        <v>4</v>
      </c>
      <c r="Q52" s="42" t="s">
        <v>5</v>
      </c>
      <c r="R52" s="42" t="s">
        <v>62</v>
      </c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</row>
    <row r="53" spans="1:99" ht="12.75">
      <c r="A53" s="1">
        <v>1947</v>
      </c>
      <c r="B53" s="43"/>
      <c r="C53" s="38"/>
      <c r="D53" s="38"/>
      <c r="E53" s="38"/>
      <c r="F53" s="38"/>
      <c r="G53" s="38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</row>
    <row r="54" spans="1:99" ht="12.75">
      <c r="A54" s="1">
        <v>1948</v>
      </c>
      <c r="B54" s="43"/>
      <c r="C54" s="38"/>
      <c r="D54" s="38"/>
      <c r="E54" s="38"/>
      <c r="F54" s="47"/>
      <c r="G54" s="38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</row>
    <row r="55" spans="1:99" ht="12.75">
      <c r="A55" s="1">
        <v>1949</v>
      </c>
      <c r="B55" s="43"/>
      <c r="C55" s="38"/>
      <c r="D55" s="43"/>
      <c r="E55" s="38"/>
      <c r="F55" s="47"/>
      <c r="G55" s="38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</row>
    <row r="56" spans="1:99" ht="12.75">
      <c r="A56" s="1">
        <v>1950</v>
      </c>
      <c r="B56" s="43"/>
      <c r="C56" s="43"/>
      <c r="D56" s="43"/>
      <c r="E56" s="38"/>
      <c r="F56" s="38"/>
      <c r="G56" s="38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</row>
    <row r="57" spans="1:99" ht="12.75">
      <c r="A57" s="1">
        <v>1951</v>
      </c>
      <c r="B57" s="43">
        <f>+B120-B119</f>
        <v>0.011928570865273436</v>
      </c>
      <c r="C57" s="43">
        <f aca="true" t="shared" si="35" ref="C57:C88">(B57-$C$4*B56)/(1-$C$4)</f>
        <v>0.01666364485462975</v>
      </c>
      <c r="D57" s="43">
        <f aca="true" t="shared" si="36" ref="D57:D88">(B57-($D$4*B56+$D$5*B55))/(1-$D$4-$D$5)</f>
        <v>0.01592729834451385</v>
      </c>
      <c r="E57" s="43">
        <f aca="true" t="shared" si="37" ref="E57:E88">+C57/$E$6</f>
        <v>0.01242252459368274</v>
      </c>
      <c r="F57" s="47">
        <f aca="true" t="shared" si="38" ref="F57:F88">IF($B57&gt;$H$4,(B57-$F$4*B56)/(1-$F$4),IF(B57&gt;$H$5,(B57-$F$5*B56)/(1+$F$5),IF(B57&gt;$H$6,(B57-$F$6*B56)/(1-$F$6),IF(B57&gt;$H$7,(B57-$F$7*B56)/(1-$F$7),IF(B57&gt;$H$8,(B57-$F$8*B56)/(1-$F$8),(B57-$F$9*B56)/(1-$F$9))))))</f>
        <v>0.01726666246328255</v>
      </c>
      <c r="H57" s="6"/>
      <c r="I57"/>
      <c r="J57" s="47">
        <f aca="true" t="shared" si="39" ref="J57:J111">IF($B57&gt;$H$4,(F57-$F$4*F56)/(1-$F$4),IF(F57&gt;$H$5,(F57-$F$5*F56)/(1+$F$5),IF(F57&gt;$H$6,(F57-$F$6*F56)/(1-$F$6),IF(F57&gt;$H$7,(F57-$F$7*F56)/(1-$F$7),IF(F57&gt;$H$8,(F57-$F$8*F56)/(1-$F$8),(F57-$F$9*F56)/(1-$F$9))))))</f>
        <v>0.021833208034712812</v>
      </c>
      <c r="K57"/>
      <c r="L57"/>
      <c r="M57">
        <f>(EXP(B57)-1)*100</f>
        <v>1.1999999999999567</v>
      </c>
      <c r="N57">
        <f aca="true" t="shared" si="40" ref="N57:Q72">(EXP(C57)-1)*100</f>
        <v>1.6803257793295057</v>
      </c>
      <c r="O57">
        <f t="shared" si="40"/>
        <v>1.6054813853803473</v>
      </c>
      <c r="P57">
        <f t="shared" si="40"/>
        <v>1.2500004652564733</v>
      </c>
      <c r="Q57">
        <f t="shared" si="40"/>
        <v>1.7416592969649924</v>
      </c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</row>
    <row r="58" spans="1:99" ht="12.75">
      <c r="A58" s="1">
        <v>1952</v>
      </c>
      <c r="B58" s="43">
        <f aca="true" t="shared" si="41" ref="B58:B111">+B121-B120</f>
        <v>-0.026343975339601755</v>
      </c>
      <c r="C58" s="43">
        <f t="shared" si="35"/>
        <v>-0.041536351701192666</v>
      </c>
      <c r="D58" s="43">
        <f t="shared" si="36"/>
        <v>-0.04037918259347433</v>
      </c>
      <c r="E58" s="43">
        <f t="shared" si="37"/>
        <v>-0.030964795219850266</v>
      </c>
      <c r="F58" s="47">
        <f t="shared" si="38"/>
        <v>-0.043471119876708604</v>
      </c>
      <c r="H58" s="6"/>
      <c r="I58"/>
      <c r="J58" s="47">
        <f t="shared" si="39"/>
        <v>-0.07065156330557705</v>
      </c>
      <c r="K58"/>
      <c r="L58"/>
      <c r="M58">
        <f aca="true" t="shared" si="42" ref="M58:M111">(EXP(B58)-1)*100</f>
        <v>-2.59999999999998</v>
      </c>
      <c r="N58">
        <f t="shared" si="40"/>
        <v>-4.068553800504882</v>
      </c>
      <c r="O58">
        <f t="shared" si="40"/>
        <v>-3.95748064168433</v>
      </c>
      <c r="P58">
        <f t="shared" si="40"/>
        <v>-3.0490296148783735</v>
      </c>
      <c r="Q58">
        <f t="shared" si="40"/>
        <v>-4.253979473954505</v>
      </c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</row>
    <row r="59" spans="1:99" ht="12.75">
      <c r="A59" s="1">
        <v>1953</v>
      </c>
      <c r="B59" s="43">
        <f t="shared" si="41"/>
        <v>0.06765864847381486</v>
      </c>
      <c r="C59" s="43">
        <f t="shared" si="35"/>
        <v>0.10497320895028919</v>
      </c>
      <c r="D59" s="43">
        <f t="shared" si="36"/>
        <v>0.10303789969026901</v>
      </c>
      <c r="E59" s="43">
        <f t="shared" si="37"/>
        <v>0.07825612470974248</v>
      </c>
      <c r="F59" s="47">
        <f t="shared" si="38"/>
        <v>0.09251969306716444</v>
      </c>
      <c r="H59" s="6"/>
      <c r="I59"/>
      <c r="J59" s="47">
        <f t="shared" si="39"/>
        <v>0.12848543027460768</v>
      </c>
      <c r="K59"/>
      <c r="L59"/>
      <c r="M59">
        <f t="shared" si="42"/>
        <v>7.000000000000006</v>
      </c>
      <c r="N59">
        <f t="shared" si="40"/>
        <v>11.068085365113722</v>
      </c>
      <c r="O59">
        <f t="shared" si="40"/>
        <v>10.85334213531981</v>
      </c>
      <c r="P59">
        <f t="shared" si="40"/>
        <v>8.13995963610099</v>
      </c>
      <c r="Q59">
        <f t="shared" si="40"/>
        <v>9.693474335717633</v>
      </c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</row>
    <row r="60" spans="1:99" ht="12.75">
      <c r="A60" s="1">
        <v>1954</v>
      </c>
      <c r="B60" s="43">
        <f t="shared" si="41"/>
        <v>0.09984533496971615</v>
      </c>
      <c r="C60" s="43">
        <f t="shared" si="35"/>
        <v>0.11262191514446239</v>
      </c>
      <c r="D60" s="43">
        <f t="shared" si="36"/>
        <v>0.10113607941656892</v>
      </c>
      <c r="E60" s="43">
        <f t="shared" si="37"/>
        <v>0.08395813298199459</v>
      </c>
      <c r="F60" s="47">
        <f t="shared" si="38"/>
        <v>0.10835780638620607</v>
      </c>
      <c r="H60" s="6"/>
      <c r="I60"/>
      <c r="J60" s="47">
        <f t="shared" si="39"/>
        <v>0.11135566329791509</v>
      </c>
      <c r="K60"/>
      <c r="L60"/>
      <c r="M60">
        <f t="shared" si="42"/>
        <v>10.499999999999998</v>
      </c>
      <c r="N60">
        <f t="shared" si="40"/>
        <v>11.92086970855386</v>
      </c>
      <c r="O60">
        <f t="shared" si="40"/>
        <v>10.642719348666162</v>
      </c>
      <c r="P60">
        <f t="shared" si="40"/>
        <v>8.758335898355618</v>
      </c>
      <c r="Q60">
        <f t="shared" si="40"/>
        <v>11.444643010602128</v>
      </c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</row>
    <row r="61" spans="1:99" ht="12.75">
      <c r="A61" s="1">
        <v>1955</v>
      </c>
      <c r="B61" s="43">
        <f t="shared" si="41"/>
        <v>0.006975613736424968</v>
      </c>
      <c r="C61" s="43">
        <f t="shared" si="35"/>
        <v>-0.029889238422077802</v>
      </c>
      <c r="D61" s="43">
        <f t="shared" si="36"/>
        <v>-0.02740888686866962</v>
      </c>
      <c r="E61" s="43">
        <f t="shared" si="37"/>
        <v>-0.022282027889087442</v>
      </c>
      <c r="F61" s="47">
        <f t="shared" si="38"/>
        <v>-0.03458402355995089</v>
      </c>
      <c r="H61" s="6"/>
      <c r="I61"/>
      <c r="J61" s="47">
        <f t="shared" si="39"/>
        <v>-0.0985511651444459</v>
      </c>
      <c r="K61"/>
      <c r="L61"/>
      <c r="M61">
        <f t="shared" si="42"/>
        <v>0.6999999999999673</v>
      </c>
      <c r="N61">
        <f t="shared" si="40"/>
        <v>-2.944697241991401</v>
      </c>
      <c r="O61">
        <f t="shared" si="40"/>
        <v>-2.703667174949431</v>
      </c>
      <c r="P61">
        <f t="shared" si="40"/>
        <v>-2.203561707647683</v>
      </c>
      <c r="Q61">
        <f t="shared" si="40"/>
        <v>-3.399283108485962</v>
      </c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</row>
    <row r="62" spans="1:99" ht="12.75">
      <c r="A62" s="1">
        <v>1956</v>
      </c>
      <c r="B62" s="43">
        <f t="shared" si="41"/>
        <v>0.05921185963184605</v>
      </c>
      <c r="C62" s="43">
        <f t="shared" si="35"/>
        <v>0.07994715911026845</v>
      </c>
      <c r="D62" s="43">
        <f t="shared" si="36"/>
        <v>0.08610711695220762</v>
      </c>
      <c r="E62" s="43">
        <f t="shared" si="37"/>
        <v>0.05959953893079076</v>
      </c>
      <c r="F62" s="47">
        <f t="shared" si="38"/>
        <v>0.07302687442518724</v>
      </c>
      <c r="G62" s="47"/>
      <c r="H62" s="6"/>
      <c r="I62"/>
      <c r="J62" s="47">
        <f t="shared" si="39"/>
        <v>0.10148692399624053</v>
      </c>
      <c r="K62"/>
      <c r="L62"/>
      <c r="M62">
        <f t="shared" si="42"/>
        <v>6.099999999999994</v>
      </c>
      <c r="N62">
        <f t="shared" si="40"/>
        <v>8.322982733479645</v>
      </c>
      <c r="O62">
        <f t="shared" si="40"/>
        <v>8.992307128997812</v>
      </c>
      <c r="P62">
        <f t="shared" si="40"/>
        <v>6.1411407478108915</v>
      </c>
      <c r="Q62">
        <f t="shared" si="40"/>
        <v>7.575944694300785</v>
      </c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</row>
    <row r="63" spans="1:99" ht="12.75">
      <c r="A63" s="1">
        <v>1957</v>
      </c>
      <c r="B63" s="43">
        <f t="shared" si="41"/>
        <v>0.02566774674857797</v>
      </c>
      <c r="C63" s="43">
        <f t="shared" si="35"/>
        <v>0.012352333007608109</v>
      </c>
      <c r="D63" s="43">
        <f t="shared" si="36"/>
        <v>0.009144528010240302</v>
      </c>
      <c r="E63" s="43">
        <f t="shared" si="37"/>
        <v>0.009208499215808585</v>
      </c>
      <c r="F63" s="47">
        <f t="shared" si="38"/>
        <v>0.016796274310845283</v>
      </c>
      <c r="G63" s="47"/>
      <c r="I63"/>
      <c r="J63" s="47">
        <f t="shared" si="39"/>
        <v>0.001924865404980908</v>
      </c>
      <c r="K63"/>
      <c r="L63"/>
      <c r="M63">
        <f t="shared" si="42"/>
        <v>2.6000000000000245</v>
      </c>
      <c r="N63">
        <f t="shared" si="40"/>
        <v>1.242893816550139</v>
      </c>
      <c r="O63">
        <f t="shared" si="40"/>
        <v>0.9186466946286886</v>
      </c>
      <c r="P63">
        <f t="shared" si="40"/>
        <v>0.9251027886219232</v>
      </c>
      <c r="Q63">
        <f t="shared" si="40"/>
        <v>1.6938124799925403</v>
      </c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</row>
    <row r="64" spans="1:99" ht="12.75">
      <c r="A64" s="1">
        <v>1958</v>
      </c>
      <c r="B64" s="43">
        <f t="shared" si="41"/>
        <v>0.07788653865707129</v>
      </c>
      <c r="C64" s="43">
        <f t="shared" si="35"/>
        <v>0.09861490973472836</v>
      </c>
      <c r="D64" s="43">
        <f t="shared" si="36"/>
        <v>0.09878109374281194</v>
      </c>
      <c r="E64" s="43">
        <f t="shared" si="37"/>
        <v>0.07351609759872584</v>
      </c>
      <c r="F64" s="47">
        <f t="shared" si="38"/>
        <v>0.09169693736279981</v>
      </c>
      <c r="G64" s="47"/>
      <c r="I64"/>
      <c r="J64" s="47">
        <f t="shared" si="39"/>
        <v>0.11150605171158803</v>
      </c>
      <c r="K64"/>
      <c r="L64"/>
      <c r="M64">
        <f t="shared" si="42"/>
        <v>8.099999999999996</v>
      </c>
      <c r="N64">
        <f t="shared" si="40"/>
        <v>10.364121622768675</v>
      </c>
      <c r="O64">
        <f t="shared" si="40"/>
        <v>10.382463898902849</v>
      </c>
      <c r="P64">
        <f t="shared" si="40"/>
        <v>7.628586215036526</v>
      </c>
      <c r="Q64">
        <f t="shared" si="40"/>
        <v>9.603260521030688</v>
      </c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</row>
    <row r="65" spans="1:99" ht="12.75">
      <c r="A65" s="1">
        <v>1959</v>
      </c>
      <c r="B65" s="43">
        <f t="shared" si="41"/>
        <v>0.10526051065749265</v>
      </c>
      <c r="C65" s="43">
        <f t="shared" si="35"/>
        <v>0.1161266726033388</v>
      </c>
      <c r="D65" s="43">
        <f t="shared" si="36"/>
        <v>0.10916017924376886</v>
      </c>
      <c r="E65" s="43">
        <f t="shared" si="37"/>
        <v>0.08657088283999993</v>
      </c>
      <c r="F65" s="47">
        <f t="shared" si="38"/>
        <v>0.11044188861011349</v>
      </c>
      <c r="G65" s="47"/>
      <c r="I65"/>
      <c r="J65" s="47">
        <f t="shared" si="39"/>
        <v>0.11398995525949447</v>
      </c>
      <c r="K65"/>
      <c r="L65"/>
      <c r="M65">
        <f t="shared" si="42"/>
        <v>11.099999999999977</v>
      </c>
      <c r="N65">
        <f t="shared" si="40"/>
        <v>12.313813395406402</v>
      </c>
      <c r="O65">
        <f t="shared" si="40"/>
        <v>11.534099051024672</v>
      </c>
      <c r="P65">
        <f t="shared" si="40"/>
        <v>9.042865765855401</v>
      </c>
      <c r="Q65">
        <f t="shared" si="40"/>
        <v>11.677145002530365</v>
      </c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</row>
    <row r="66" spans="1:99" ht="12.75">
      <c r="A66" s="1">
        <v>1960</v>
      </c>
      <c r="B66" s="43">
        <f t="shared" si="41"/>
        <v>0.09349034308733906</v>
      </c>
      <c r="C66" s="43">
        <f t="shared" si="35"/>
        <v>0.08881814765493828</v>
      </c>
      <c r="D66" s="43">
        <f t="shared" si="36"/>
        <v>0.08677857678868944</v>
      </c>
      <c r="E66" s="43">
        <f t="shared" si="37"/>
        <v>0.06621274236424135</v>
      </c>
      <c r="F66" s="47">
        <f t="shared" si="38"/>
        <v>0.09037746549986239</v>
      </c>
      <c r="G66" s="47"/>
      <c r="I66"/>
      <c r="J66" s="47">
        <f t="shared" si="39"/>
        <v>0.08507099109044712</v>
      </c>
      <c r="K66"/>
      <c r="L66"/>
      <c r="M66">
        <f t="shared" si="42"/>
        <v>9.800000000000008</v>
      </c>
      <c r="N66">
        <f t="shared" si="40"/>
        <v>9.288189511877931</v>
      </c>
      <c r="O66">
        <f t="shared" si="40"/>
        <v>9.065515661264412</v>
      </c>
      <c r="P66">
        <f t="shared" si="40"/>
        <v>6.845399841866739</v>
      </c>
      <c r="Q66">
        <f t="shared" si="40"/>
        <v>9.45873747070416</v>
      </c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</row>
    <row r="67" spans="1:99" ht="12.75">
      <c r="A67" s="1">
        <v>1961</v>
      </c>
      <c r="B67" s="43">
        <f t="shared" si="41"/>
        <v>0.061095099359810945</v>
      </c>
      <c r="C67" s="43">
        <f t="shared" si="35"/>
        <v>0.04823573190619266</v>
      </c>
      <c r="D67" s="43">
        <f t="shared" si="36"/>
        <v>0.05142485412139511</v>
      </c>
      <c r="E67" s="43">
        <f t="shared" si="37"/>
        <v>0.03595909365125985</v>
      </c>
      <c r="F67" s="47">
        <f t="shared" si="38"/>
        <v>0.052527470433611174</v>
      </c>
      <c r="G67" s="47"/>
      <c r="I67"/>
      <c r="J67" s="47">
        <f t="shared" si="39"/>
        <v>0.042517213517082125</v>
      </c>
      <c r="K67"/>
      <c r="L67"/>
      <c r="M67">
        <f t="shared" si="42"/>
        <v>6.300000000000017</v>
      </c>
      <c r="N67">
        <f t="shared" si="40"/>
        <v>4.941800747622316</v>
      </c>
      <c r="O67">
        <f t="shared" si="40"/>
        <v>5.277007198758521</v>
      </c>
      <c r="P67">
        <f t="shared" si="40"/>
        <v>3.6613441552665105</v>
      </c>
      <c r="Q67">
        <f t="shared" si="40"/>
        <v>5.393151363655568</v>
      </c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</row>
    <row r="68" spans="1:99" ht="12.75">
      <c r="A68" s="1">
        <v>1962</v>
      </c>
      <c r="B68" s="43">
        <f t="shared" si="41"/>
        <v>0.06578774053800274</v>
      </c>
      <c r="C68" s="43">
        <f t="shared" si="35"/>
        <v>0.06765049538392694</v>
      </c>
      <c r="D68" s="43">
        <f t="shared" si="36"/>
        <v>0.07063435886487364</v>
      </c>
      <c r="E68" s="43">
        <f t="shared" si="37"/>
        <v>0.05043254042036085</v>
      </c>
      <c r="F68" s="47">
        <f t="shared" si="38"/>
        <v>0.06702881187047084</v>
      </c>
      <c r="G68" s="47"/>
      <c r="I68"/>
      <c r="J68" s="47">
        <f t="shared" si="39"/>
        <v>0.07086400796925996</v>
      </c>
      <c r="K68"/>
      <c r="L68"/>
      <c r="M68">
        <f t="shared" si="42"/>
        <v>6.799999999999962</v>
      </c>
      <c r="N68">
        <f t="shared" si="40"/>
        <v>6.999127622938284</v>
      </c>
      <c r="O68">
        <f t="shared" si="40"/>
        <v>7.318875216691789</v>
      </c>
      <c r="P68">
        <f t="shared" si="40"/>
        <v>5.172591197393772</v>
      </c>
      <c r="Q68">
        <f t="shared" si="40"/>
        <v>6.932628702124055</v>
      </c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</row>
    <row r="69" spans="1:99" ht="12.75">
      <c r="A69" s="1">
        <v>1963</v>
      </c>
      <c r="B69" s="43">
        <f t="shared" si="41"/>
        <v>0.09803374027136513</v>
      </c>
      <c r="C69" s="43">
        <f t="shared" si="35"/>
        <v>0.11083386497387576</v>
      </c>
      <c r="D69" s="43">
        <f t="shared" si="36"/>
        <v>0.10836913940583079</v>
      </c>
      <c r="E69" s="43">
        <f t="shared" si="37"/>
        <v>0.08262516547022722</v>
      </c>
      <c r="F69" s="47">
        <f t="shared" si="38"/>
        <v>0.10656189836745694</v>
      </c>
      <c r="G69" s="47"/>
      <c r="I69"/>
      <c r="J69" s="47">
        <f t="shared" si="39"/>
        <v>0.11404476796239124</v>
      </c>
      <c r="K69"/>
      <c r="L69"/>
      <c r="M69">
        <f t="shared" si="42"/>
        <v>10.299999999999976</v>
      </c>
      <c r="N69">
        <f t="shared" si="40"/>
        <v>11.720928384208595</v>
      </c>
      <c r="O69">
        <f t="shared" si="40"/>
        <v>11.445906022085284</v>
      </c>
      <c r="P69">
        <f t="shared" si="40"/>
        <v>8.613461148088074</v>
      </c>
      <c r="Q69">
        <f t="shared" si="40"/>
        <v>11.24467829543574</v>
      </c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</row>
    <row r="70" spans="1:99" ht="12.75">
      <c r="A70" s="1">
        <v>1964</v>
      </c>
      <c r="B70" s="43">
        <f t="shared" si="41"/>
        <v>0.07973496801885371</v>
      </c>
      <c r="C70" s="43">
        <f t="shared" si="35"/>
        <v>0.07247122775116863</v>
      </c>
      <c r="D70" s="43">
        <f t="shared" si="36"/>
        <v>0.07034234708761808</v>
      </c>
      <c r="E70" s="43">
        <f t="shared" si="37"/>
        <v>0.05402633198961552</v>
      </c>
      <c r="F70" s="47">
        <f t="shared" si="38"/>
        <v>0.07489545849754284</v>
      </c>
      <c r="G70" s="47"/>
      <c r="I70"/>
      <c r="J70" s="47">
        <f t="shared" si="39"/>
        <v>0.06652057765079997</v>
      </c>
      <c r="K70"/>
      <c r="L70"/>
      <c r="M70">
        <f t="shared" si="42"/>
        <v>8.300000000000018</v>
      </c>
      <c r="N70">
        <f t="shared" si="40"/>
        <v>7.516187082023729</v>
      </c>
      <c r="O70">
        <f t="shared" si="40"/>
        <v>7.287541416348731</v>
      </c>
      <c r="P70">
        <f t="shared" si="40"/>
        <v>5.551239553058918</v>
      </c>
      <c r="Q70">
        <f t="shared" si="40"/>
        <v>7.777147314587607</v>
      </c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</row>
    <row r="71" spans="1:99" ht="12.75">
      <c r="A71" s="1">
        <v>1965</v>
      </c>
      <c r="B71" s="43">
        <f t="shared" si="41"/>
        <v>0.04592893188840019</v>
      </c>
      <c r="C71" s="43">
        <f t="shared" si="35"/>
        <v>0.032509547104380566</v>
      </c>
      <c r="D71" s="43">
        <f t="shared" si="36"/>
        <v>0.03644547238383024</v>
      </c>
      <c r="E71" s="43">
        <f t="shared" si="37"/>
        <v>0.024235433001409117</v>
      </c>
      <c r="F71" s="47">
        <f t="shared" si="38"/>
        <v>0.036988188133930254</v>
      </c>
      <c r="G71" s="47"/>
      <c r="I71"/>
      <c r="J71" s="47">
        <f t="shared" si="39"/>
        <v>0.026962783515517636</v>
      </c>
      <c r="K71"/>
      <c r="L71"/>
      <c r="M71">
        <f t="shared" si="42"/>
        <v>4.7000000000000375</v>
      </c>
      <c r="N71">
        <f t="shared" si="40"/>
        <v>3.304375567345841</v>
      </c>
      <c r="O71">
        <f t="shared" si="40"/>
        <v>3.711775091726599</v>
      </c>
      <c r="P71">
        <f t="shared" si="40"/>
        <v>2.4531498024244147</v>
      </c>
      <c r="Q71">
        <f t="shared" si="40"/>
        <v>3.7680763819562646</v>
      </c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</row>
    <row r="72" spans="1:99" ht="12.75">
      <c r="A72" s="1">
        <v>1966</v>
      </c>
      <c r="B72" s="43">
        <f t="shared" si="41"/>
        <v>0.030529205034822482</v>
      </c>
      <c r="C72" s="43">
        <f t="shared" si="35"/>
        <v>0.02441624759078786</v>
      </c>
      <c r="D72" s="43">
        <f t="shared" si="36"/>
        <v>0.028782966465006218</v>
      </c>
      <c r="E72" s="43">
        <f t="shared" si="37"/>
        <v>0.018201986349807405</v>
      </c>
      <c r="F72" s="47">
        <f t="shared" si="38"/>
        <v>0.026456411313743863</v>
      </c>
      <c r="G72" s="47"/>
      <c r="I72"/>
      <c r="J72" s="47">
        <f t="shared" si="39"/>
        <v>0.023671053176362925</v>
      </c>
      <c r="K72"/>
      <c r="L72"/>
      <c r="M72">
        <f t="shared" si="42"/>
        <v>3.0999999999999694</v>
      </c>
      <c r="N72">
        <f t="shared" si="40"/>
        <v>2.4716765015347697</v>
      </c>
      <c r="O72">
        <f t="shared" si="40"/>
        <v>2.9201199059407656</v>
      </c>
      <c r="P72">
        <f t="shared" si="40"/>
        <v>1.8368652184056034</v>
      </c>
      <c r="Q72">
        <f t="shared" si="40"/>
        <v>2.680948900955138</v>
      </c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</row>
    <row r="73" spans="1:99" ht="12.75">
      <c r="A73" s="1">
        <v>1967</v>
      </c>
      <c r="B73" s="43">
        <f t="shared" si="41"/>
        <v>0.07603468627599774</v>
      </c>
      <c r="C73" s="43">
        <f t="shared" si="35"/>
        <v>0.09409819304741779</v>
      </c>
      <c r="D73" s="43">
        <f t="shared" si="36"/>
        <v>0.09284529761515005</v>
      </c>
      <c r="E73" s="43">
        <f t="shared" si="37"/>
        <v>0.07014894565686099</v>
      </c>
      <c r="F73" s="47">
        <f t="shared" si="38"/>
        <v>0.08806960352069301</v>
      </c>
      <c r="G73" s="47"/>
      <c r="I73"/>
      <c r="J73" s="47">
        <f t="shared" si="39"/>
        <v>0.10436455633005234</v>
      </c>
      <c r="K73"/>
      <c r="L73"/>
      <c r="M73">
        <f t="shared" si="42"/>
        <v>7.900000000000018</v>
      </c>
      <c r="N73">
        <f aca="true" t="shared" si="43" ref="N73:N111">(EXP(C73)-1)*100</f>
        <v>9.866762214265679</v>
      </c>
      <c r="O73">
        <f aca="true" t="shared" si="44" ref="O73:O111">(EXP(D73)-1)*100</f>
        <v>9.729196845235876</v>
      </c>
      <c r="P73">
        <f aca="true" t="shared" si="45" ref="P73:P111">(EXP(E73)-1)*100</f>
        <v>7.266793858704723</v>
      </c>
      <c r="Q73">
        <f aca="true" t="shared" si="46" ref="Q73:Q111">(EXP(F73)-1)*100</f>
        <v>9.206413089125709</v>
      </c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</row>
    <row r="74" spans="1:99" ht="12.75">
      <c r="A74" s="1">
        <v>1968</v>
      </c>
      <c r="B74" s="43">
        <f t="shared" si="41"/>
        <v>0.19309662996191346</v>
      </c>
      <c r="C74" s="43">
        <f t="shared" si="35"/>
        <v>0.2395646411722377</v>
      </c>
      <c r="D74" s="43">
        <f t="shared" si="36"/>
        <v>0.22774012054674908</v>
      </c>
      <c r="E74" s="43">
        <f t="shared" si="37"/>
        <v>0.17859223913500927</v>
      </c>
      <c r="F74" s="47">
        <f t="shared" si="38"/>
        <v>0.13770477486610302</v>
      </c>
      <c r="G74" s="47">
        <f aca="true" t="shared" si="47" ref="G74:G111">(B74-$G$4*CORREL(B54:B73,B53:B72)*B73)/(1-$G$4*CORREL(B54:B73,B53:B72))</f>
        <v>0.22261568084493213</v>
      </c>
      <c r="H74" s="47"/>
      <c r="I74"/>
      <c r="J74" s="47">
        <f t="shared" si="39"/>
        <v>0.14709977908689006</v>
      </c>
      <c r="K74"/>
      <c r="L74"/>
      <c r="M74">
        <f t="shared" si="42"/>
        <v>21.300000000000054</v>
      </c>
      <c r="N74">
        <f t="shared" si="43"/>
        <v>27.0695821238617</v>
      </c>
      <c r="O74">
        <f t="shared" si="44"/>
        <v>25.575893707738494</v>
      </c>
      <c r="P74">
        <f t="shared" si="45"/>
        <v>19.553315313172213</v>
      </c>
      <c r="Q74">
        <f t="shared" si="46"/>
        <v>14.763668906127325</v>
      </c>
      <c r="R74">
        <f aca="true" t="shared" si="48" ref="R74:R111">(EXP(G74)-1)*100</f>
        <v>24.934033603728345</v>
      </c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</row>
    <row r="75" spans="1:99" ht="12.75">
      <c r="A75" s="1">
        <v>1969</v>
      </c>
      <c r="B75" s="43">
        <f t="shared" si="41"/>
        <v>0.05164323315183772</v>
      </c>
      <c r="C75" s="43">
        <f t="shared" si="35"/>
        <v>-0.004507022189428031</v>
      </c>
      <c r="D75" s="43">
        <f t="shared" si="36"/>
        <v>-0.00760425997240344</v>
      </c>
      <c r="E75" s="43">
        <f t="shared" si="37"/>
        <v>-0.003359924823223049</v>
      </c>
      <c r="F75" s="47">
        <f t="shared" si="38"/>
        <v>0.014232796471301757</v>
      </c>
      <c r="G75" s="47">
        <f t="shared" si="47"/>
        <v>0.008437197306938891</v>
      </c>
      <c r="I75"/>
      <c r="J75" s="47">
        <f t="shared" si="39"/>
        <v>-0.04102149491893035</v>
      </c>
      <c r="K75"/>
      <c r="L75"/>
      <c r="M75">
        <f t="shared" si="42"/>
        <v>5.299999999999927</v>
      </c>
      <c r="N75">
        <f t="shared" si="43"/>
        <v>-0.4496880806453385</v>
      </c>
      <c r="O75">
        <f t="shared" si="44"/>
        <v>-0.7575420734193705</v>
      </c>
      <c r="P75">
        <f t="shared" si="45"/>
        <v>-0.3354286592259226</v>
      </c>
      <c r="Q75">
        <f t="shared" si="46"/>
        <v>1.433456496254415</v>
      </c>
      <c r="R75">
        <f t="shared" si="48"/>
        <v>0.8472890769779973</v>
      </c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</row>
    <row r="76" spans="1:99" ht="12.75">
      <c r="A76" s="1">
        <v>1970</v>
      </c>
      <c r="B76" s="43">
        <f t="shared" si="41"/>
        <v>0.21993842036526168</v>
      </c>
      <c r="C76" s="43">
        <f t="shared" si="35"/>
        <v>0.286743586927842</v>
      </c>
      <c r="D76" s="43">
        <f t="shared" si="36"/>
        <v>0.2906486461085865</v>
      </c>
      <c r="E76" s="43">
        <f t="shared" si="37"/>
        <v>0.21376351283088285</v>
      </c>
      <c r="F76" s="47">
        <f t="shared" si="38"/>
        <v>0.1640422437010736</v>
      </c>
      <c r="G76" s="47">
        <f t="shared" si="47"/>
        <v>0.2425325690887103</v>
      </c>
      <c r="I76"/>
      <c r="J76" s="47">
        <f t="shared" si="39"/>
        <v>0.19239835391258053</v>
      </c>
      <c r="K76"/>
      <c r="L76"/>
      <c r="M76">
        <f t="shared" si="42"/>
        <v>24.600000000000044</v>
      </c>
      <c r="N76">
        <f t="shared" si="43"/>
        <v>33.20826062878268</v>
      </c>
      <c r="O76">
        <f t="shared" si="44"/>
        <v>33.72946377212218</v>
      </c>
      <c r="P76">
        <f t="shared" si="45"/>
        <v>23.83297710612031</v>
      </c>
      <c r="Q76">
        <f t="shared" si="46"/>
        <v>17.826408827734387</v>
      </c>
      <c r="R76">
        <f t="shared" si="48"/>
        <v>27.447275690375793</v>
      </c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</row>
    <row r="77" spans="1:99" ht="12.75">
      <c r="A77" s="1">
        <v>1971</v>
      </c>
      <c r="B77" s="43">
        <f t="shared" si="41"/>
        <v>0.1493991807417281</v>
      </c>
      <c r="C77" s="43">
        <f t="shared" si="35"/>
        <v>0.12139846527104797</v>
      </c>
      <c r="D77" s="43">
        <f t="shared" si="36"/>
        <v>0.1087466033552001</v>
      </c>
      <c r="E77" s="43">
        <f t="shared" si="37"/>
        <v>0.09050093383656917</v>
      </c>
      <c r="F77" s="47">
        <f t="shared" si="38"/>
        <v>0.1360474296339828</v>
      </c>
      <c r="G77" s="47">
        <f t="shared" si="47"/>
        <v>0.14546219830704976</v>
      </c>
      <c r="I77"/>
      <c r="J77" s="47">
        <f t="shared" si="39"/>
        <v>0.13074853795714794</v>
      </c>
      <c r="K77"/>
      <c r="L77"/>
      <c r="M77">
        <f t="shared" si="42"/>
        <v>16.113639999999997</v>
      </c>
      <c r="N77">
        <f t="shared" si="43"/>
        <v>12.907471980933249</v>
      </c>
      <c r="O77">
        <f t="shared" si="44"/>
        <v>11.487980774264916</v>
      </c>
      <c r="P77">
        <f t="shared" si="45"/>
        <v>9.472252993310072</v>
      </c>
      <c r="Q77">
        <f t="shared" si="46"/>
        <v>14.573623415640213</v>
      </c>
      <c r="R77">
        <f t="shared" si="48"/>
        <v>15.657401330010012</v>
      </c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</row>
    <row r="78" spans="1:99" ht="12.75">
      <c r="A78" s="1">
        <v>1972</v>
      </c>
      <c r="B78" s="43">
        <f t="shared" si="41"/>
        <v>0.2577500198109721</v>
      </c>
      <c r="C78" s="43">
        <f t="shared" si="35"/>
        <v>0.30076013775354166</v>
      </c>
      <c r="D78" s="43">
        <f t="shared" si="36"/>
        <v>0.30119966675602716</v>
      </c>
      <c r="E78" s="43">
        <f t="shared" si="37"/>
        <v>0.22421266419421626</v>
      </c>
      <c r="F78" s="47">
        <f t="shared" si="38"/>
        <v>0.17395170962304263</v>
      </c>
      <c r="G78" s="47">
        <f t="shared" si="47"/>
        <v>0.2871601672177088</v>
      </c>
      <c r="I78"/>
      <c r="J78" s="47">
        <f t="shared" si="39"/>
        <v>0.1811262767864144</v>
      </c>
      <c r="K78"/>
      <c r="L78"/>
      <c r="M78">
        <f t="shared" si="42"/>
        <v>29.401530000000008</v>
      </c>
      <c r="N78">
        <f t="shared" si="43"/>
        <v>35.0885276296981</v>
      </c>
      <c r="O78">
        <f t="shared" si="44"/>
        <v>35.14791600599523</v>
      </c>
      <c r="P78">
        <f t="shared" si="45"/>
        <v>25.1337105731128</v>
      </c>
      <c r="Q78">
        <f t="shared" si="46"/>
        <v>18.99980989760479</v>
      </c>
      <c r="R78">
        <f t="shared" si="48"/>
        <v>33.26376412463659</v>
      </c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</row>
    <row r="79" spans="1:99" ht="12.75">
      <c r="A79" s="1">
        <v>1973</v>
      </c>
      <c r="B79" s="43">
        <f t="shared" si="41"/>
        <v>0.2503829279024403</v>
      </c>
      <c r="C79" s="43">
        <f t="shared" si="35"/>
        <v>0.24745854360969663</v>
      </c>
      <c r="D79" s="43">
        <f t="shared" si="36"/>
        <v>0.23696446199930965</v>
      </c>
      <c r="E79" s="43">
        <f t="shared" si="37"/>
        <v>0.18447703793052733</v>
      </c>
      <c r="F79" s="47">
        <f t="shared" si="38"/>
        <v>0.14580042519485126</v>
      </c>
      <c r="G79" s="47">
        <f t="shared" si="47"/>
        <v>0.2477335185100749</v>
      </c>
      <c r="I79"/>
      <c r="J79" s="47">
        <f t="shared" si="39"/>
        <v>0.1404719166221113</v>
      </c>
      <c r="K79"/>
      <c r="L79"/>
      <c r="M79">
        <f t="shared" si="42"/>
        <v>28.451720000000048</v>
      </c>
      <c r="N79">
        <f t="shared" si="43"/>
        <v>28.07662653369405</v>
      </c>
      <c r="O79">
        <f t="shared" si="44"/>
        <v>26.739607625231265</v>
      </c>
      <c r="P79">
        <f t="shared" si="45"/>
        <v>20.25893670272407</v>
      </c>
      <c r="Q79">
        <f t="shared" si="46"/>
        <v>15.696526389113563</v>
      </c>
      <c r="R79">
        <f t="shared" si="48"/>
        <v>28.111849233773214</v>
      </c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</row>
    <row r="80" spans="1:99" ht="12.75">
      <c r="A80" s="1">
        <v>1974</v>
      </c>
      <c r="B80" s="43">
        <f t="shared" si="41"/>
        <v>-0.17372441832047958</v>
      </c>
      <c r="C80" s="43">
        <f t="shared" si="35"/>
        <v>-0.34207481724725386</v>
      </c>
      <c r="D80" s="43">
        <f t="shared" si="36"/>
        <v>-0.3151503745474187</v>
      </c>
      <c r="E80" s="43">
        <f t="shared" si="37"/>
        <v>-0.25501220574518524</v>
      </c>
      <c r="F80" s="47">
        <f t="shared" si="38"/>
        <v>-0.4674162153899635</v>
      </c>
      <c r="G80" s="47">
        <f t="shared" si="47"/>
        <v>-0.5324006192939926</v>
      </c>
      <c r="I80"/>
      <c r="J80" s="47">
        <f t="shared" si="39"/>
        <v>-0.8920650661354145</v>
      </c>
      <c r="K80"/>
      <c r="L80"/>
      <c r="M80">
        <f t="shared" si="42"/>
        <v>-15.947150000000065</v>
      </c>
      <c r="N80">
        <f t="shared" si="43"/>
        <v>-28.970493960001054</v>
      </c>
      <c r="O80">
        <f t="shared" si="44"/>
        <v>-27.03208591518591</v>
      </c>
      <c r="P80">
        <f t="shared" si="45"/>
        <v>-22.509296041450966</v>
      </c>
      <c r="Q80">
        <f t="shared" si="46"/>
        <v>-37.33807724375821</v>
      </c>
      <c r="R80">
        <f t="shared" si="48"/>
        <v>-41.280635206750404</v>
      </c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</row>
    <row r="81" spans="1:99" ht="12.75">
      <c r="A81" s="1">
        <v>1975</v>
      </c>
      <c r="B81" s="43">
        <f t="shared" si="41"/>
        <v>0.10788137561877242</v>
      </c>
      <c r="C81" s="43">
        <f t="shared" si="35"/>
        <v>0.21966545144764332</v>
      </c>
      <c r="D81" s="43">
        <f t="shared" si="36"/>
        <v>0.24513806110608766</v>
      </c>
      <c r="E81" s="43">
        <f t="shared" si="37"/>
        <v>0.16375765907136539</v>
      </c>
      <c r="F81" s="47">
        <f t="shared" si="38"/>
        <v>0.16118405496777824</v>
      </c>
      <c r="G81" s="47">
        <f t="shared" si="47"/>
        <v>0.1096195130758863</v>
      </c>
      <c r="I81"/>
      <c r="J81" s="47">
        <f t="shared" si="39"/>
        <v>0.2801662611961238</v>
      </c>
      <c r="K81"/>
      <c r="L81"/>
      <c r="M81">
        <f t="shared" si="42"/>
        <v>11.391560000000055</v>
      </c>
      <c r="N81">
        <f t="shared" si="43"/>
        <v>24.565992714541895</v>
      </c>
      <c r="O81">
        <f t="shared" si="44"/>
        <v>27.779771519339548</v>
      </c>
      <c r="P81">
        <f t="shared" si="45"/>
        <v>17.792882013642576</v>
      </c>
      <c r="Q81">
        <f t="shared" si="46"/>
        <v>17.49011953161268</v>
      </c>
      <c r="R81">
        <f t="shared" si="48"/>
        <v>11.585342204109494</v>
      </c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</row>
    <row r="82" spans="1:99" ht="12.75">
      <c r="A82" s="1">
        <v>1976</v>
      </c>
      <c r="B82" s="43">
        <f t="shared" si="41"/>
        <v>0.0901051114542204</v>
      </c>
      <c r="C82" s="43">
        <f t="shared" si="35"/>
        <v>0.08304878198909234</v>
      </c>
      <c r="D82" s="43">
        <f t="shared" si="36"/>
        <v>0.055689846022022836</v>
      </c>
      <c r="E82" s="43">
        <f t="shared" si="37"/>
        <v>0.061911757345708175</v>
      </c>
      <c r="F82" s="47">
        <f t="shared" si="38"/>
        <v>0.08540379059561036</v>
      </c>
      <c r="G82" s="47">
        <f t="shared" si="47"/>
        <v>0.09043926299082249</v>
      </c>
      <c r="I82"/>
      <c r="J82" s="47">
        <f t="shared" si="39"/>
        <v>0.0653620464886401</v>
      </c>
      <c r="K82"/>
      <c r="L82"/>
      <c r="M82">
        <f t="shared" si="42"/>
        <v>9.428930000000024</v>
      </c>
      <c r="N82">
        <f t="shared" si="43"/>
        <v>8.659481351172428</v>
      </c>
      <c r="O82">
        <f t="shared" si="44"/>
        <v>5.726971647070611</v>
      </c>
      <c r="P82">
        <f t="shared" si="45"/>
        <v>6.386846200895935</v>
      </c>
      <c r="Q82">
        <f t="shared" si="46"/>
        <v>8.915676917910087</v>
      </c>
      <c r="R82">
        <f t="shared" si="48"/>
        <v>9.465501955055444</v>
      </c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</row>
    <row r="83" spans="1:99" ht="12.75">
      <c r="A83" s="1">
        <v>1977</v>
      </c>
      <c r="B83" s="43">
        <f t="shared" si="41"/>
        <v>0.2350786043719122</v>
      </c>
      <c r="C83" s="43">
        <f t="shared" si="35"/>
        <v>0.29262617006220987</v>
      </c>
      <c r="D83" s="43">
        <f t="shared" si="36"/>
        <v>0.28547329807297006</v>
      </c>
      <c r="E83" s="43">
        <f t="shared" si="37"/>
        <v>0.21814889995948364</v>
      </c>
      <c r="F83" s="47">
        <f t="shared" si="38"/>
        <v>0.16815020109893405</v>
      </c>
      <c r="G83" s="47">
        <f t="shared" si="47"/>
        <v>0.22980496677977344</v>
      </c>
      <c r="I83"/>
      <c r="J83" s="47">
        <f t="shared" si="39"/>
        <v>0.18381254001832195</v>
      </c>
      <c r="K83"/>
      <c r="L83"/>
      <c r="M83">
        <f t="shared" si="42"/>
        <v>26.500819999999912</v>
      </c>
      <c r="N83">
        <f t="shared" si="43"/>
        <v>33.99417864377037</v>
      </c>
      <c r="O83">
        <f t="shared" si="44"/>
        <v>33.03915508910975</v>
      </c>
      <c r="P83">
        <f t="shared" si="45"/>
        <v>24.377225146963653</v>
      </c>
      <c r="Q83">
        <f t="shared" si="46"/>
        <v>18.311430237111146</v>
      </c>
      <c r="R83">
        <f t="shared" si="48"/>
        <v>25.83545650522945</v>
      </c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</row>
    <row r="84" spans="1:99" ht="12.75">
      <c r="A84" s="1">
        <v>1978</v>
      </c>
      <c r="B84" s="43">
        <f t="shared" si="41"/>
        <v>0.22853292252864055</v>
      </c>
      <c r="C84" s="43">
        <f t="shared" si="35"/>
        <v>0.22593459887455486</v>
      </c>
      <c r="D84" s="43">
        <f t="shared" si="36"/>
        <v>0.21168909363870841</v>
      </c>
      <c r="E84" s="43">
        <f t="shared" si="37"/>
        <v>0.16843122471511432</v>
      </c>
      <c r="F84" s="47">
        <f t="shared" si="38"/>
        <v>0.13311369418391114</v>
      </c>
      <c r="G84" s="47">
        <f t="shared" si="47"/>
        <v>0.22887533902508952</v>
      </c>
      <c r="I84"/>
      <c r="J84" s="47">
        <f t="shared" si="39"/>
        <v>0.12648194251617537</v>
      </c>
      <c r="K84"/>
      <c r="L84"/>
      <c r="M84">
        <f t="shared" si="42"/>
        <v>25.675490000000067</v>
      </c>
      <c r="N84">
        <f t="shared" si="43"/>
        <v>25.34936826997527</v>
      </c>
      <c r="O84">
        <f t="shared" si="44"/>
        <v>23.576361857608074</v>
      </c>
      <c r="P84">
        <f t="shared" si="45"/>
        <v>18.34468321528908</v>
      </c>
      <c r="Q84">
        <f t="shared" si="46"/>
        <v>14.237987289512844</v>
      </c>
      <c r="R84">
        <f t="shared" si="48"/>
        <v>25.718530729482737</v>
      </c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</row>
    <row r="85" spans="1:99" ht="12.75">
      <c r="A85" s="1">
        <v>1979</v>
      </c>
      <c r="B85" s="43">
        <f t="shared" si="41"/>
        <v>0.2086417060163832</v>
      </c>
      <c r="C85" s="43">
        <f t="shared" si="35"/>
        <v>0.20074584129062295</v>
      </c>
      <c r="D85" s="43">
        <f t="shared" si="36"/>
        <v>0.20263516012235994</v>
      </c>
      <c r="E85" s="43">
        <f t="shared" si="37"/>
        <v>0.14965334248703926</v>
      </c>
      <c r="F85" s="47">
        <f t="shared" si="38"/>
        <v>0.11866364618136976</v>
      </c>
      <c r="G85" s="47">
        <f t="shared" si="47"/>
        <v>0.20819908781559723</v>
      </c>
      <c r="I85"/>
      <c r="J85" s="47">
        <f t="shared" si="39"/>
        <v>0.11592852392240319</v>
      </c>
      <c r="K85"/>
      <c r="L85"/>
      <c r="M85">
        <f t="shared" si="42"/>
        <v>23.200349999999958</v>
      </c>
      <c r="N85">
        <f t="shared" si="43"/>
        <v>22.231407057465468</v>
      </c>
      <c r="O85">
        <f t="shared" si="44"/>
        <v>22.46255944817255</v>
      </c>
      <c r="P85">
        <f t="shared" si="45"/>
        <v>16.14315539608022</v>
      </c>
      <c r="Q85">
        <f t="shared" si="46"/>
        <v>12.59911231733093</v>
      </c>
      <c r="R85">
        <f t="shared" si="48"/>
        <v>23.145831349110413</v>
      </c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</row>
    <row r="86" spans="1:99" ht="12.75">
      <c r="A86" s="1">
        <v>1980</v>
      </c>
      <c r="B86" s="43">
        <f t="shared" si="41"/>
        <v>0.16135937747710383</v>
      </c>
      <c r="C86" s="43">
        <f t="shared" si="35"/>
        <v>0.1425905470320152</v>
      </c>
      <c r="D86" s="43">
        <f t="shared" si="36"/>
        <v>0.14751927558470834</v>
      </c>
      <c r="E86" s="43">
        <f t="shared" si="37"/>
        <v>0.10629934763880573</v>
      </c>
      <c r="F86" s="47">
        <f t="shared" si="38"/>
        <v>0.1524097221388787</v>
      </c>
      <c r="G86" s="47">
        <f t="shared" si="47"/>
        <v>0.15753685266186807</v>
      </c>
      <c r="I86"/>
      <c r="J86" s="47">
        <f t="shared" si="39"/>
        <v>0.15879721950137377</v>
      </c>
      <c r="K86"/>
      <c r="L86"/>
      <c r="M86">
        <f t="shared" si="42"/>
        <v>17.51072000000007</v>
      </c>
      <c r="N86">
        <f t="shared" si="43"/>
        <v>15.32575002736678</v>
      </c>
      <c r="O86">
        <f t="shared" si="44"/>
        <v>15.895562416175512</v>
      </c>
      <c r="P86">
        <f t="shared" si="45"/>
        <v>11.215474757963474</v>
      </c>
      <c r="Q86">
        <f t="shared" si="46"/>
        <v>16.463731638261557</v>
      </c>
      <c r="R86">
        <f t="shared" si="48"/>
        <v>17.06238977934604</v>
      </c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</row>
    <row r="87" spans="1:99" ht="12.75">
      <c r="A87" s="1">
        <v>1981</v>
      </c>
      <c r="B87" s="43">
        <f t="shared" si="41"/>
        <v>0.13991097474754355</v>
      </c>
      <c r="C87" s="43">
        <f t="shared" si="35"/>
        <v>0.1313969813257799</v>
      </c>
      <c r="D87" s="43">
        <f t="shared" si="36"/>
        <v>0.13749886186356947</v>
      </c>
      <c r="E87" s="43">
        <f t="shared" si="37"/>
        <v>0.09795469396370786</v>
      </c>
      <c r="F87" s="47">
        <f t="shared" si="38"/>
        <v>0.13585119558870737</v>
      </c>
      <c r="G87" s="47">
        <f t="shared" si="47"/>
        <v>0.13777595032720127</v>
      </c>
      <c r="I87"/>
      <c r="J87" s="47">
        <f t="shared" si="39"/>
        <v>0.1327169780044407</v>
      </c>
      <c r="K87"/>
      <c r="L87"/>
      <c r="M87">
        <f t="shared" si="42"/>
        <v>15.017139999999962</v>
      </c>
      <c r="N87">
        <f t="shared" si="43"/>
        <v>14.042041707118935</v>
      </c>
      <c r="O87">
        <f t="shared" si="44"/>
        <v>14.740040007313326</v>
      </c>
      <c r="P87">
        <f t="shared" si="45"/>
        <v>10.29128153685106</v>
      </c>
      <c r="Q87">
        <f t="shared" si="46"/>
        <v>14.55114237588031</v>
      </c>
      <c r="R87">
        <f t="shared" si="48"/>
        <v>14.77183755387923</v>
      </c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</row>
    <row r="88" spans="1:99" ht="12.75">
      <c r="A88" s="1">
        <v>1982</v>
      </c>
      <c r="B88" s="43">
        <f t="shared" si="41"/>
        <v>0.07260248232954414</v>
      </c>
      <c r="C88" s="43">
        <f t="shared" si="35"/>
        <v>0.04588421948725437</v>
      </c>
      <c r="D88" s="43">
        <f t="shared" si="36"/>
        <v>0.05220650976532844</v>
      </c>
      <c r="E88" s="43">
        <f t="shared" si="37"/>
        <v>0.03420607256184944</v>
      </c>
      <c r="F88" s="47">
        <f t="shared" si="38"/>
        <v>0.05480128313284488</v>
      </c>
      <c r="G88" s="47">
        <f t="shared" si="47"/>
        <v>0.06626083481333679</v>
      </c>
      <c r="I88"/>
      <c r="J88" s="47">
        <f t="shared" si="39"/>
        <v>0.03336586562948063</v>
      </c>
      <c r="K88"/>
      <c r="L88"/>
      <c r="M88">
        <f t="shared" si="42"/>
        <v>7.530300000000012</v>
      </c>
      <c r="N88">
        <f t="shared" si="43"/>
        <v>4.695318716256569</v>
      </c>
      <c r="O88">
        <f t="shared" si="44"/>
        <v>5.3593297353580205</v>
      </c>
      <c r="P88">
        <f t="shared" si="45"/>
        <v>3.4797828197268954</v>
      </c>
      <c r="Q88">
        <f t="shared" si="46"/>
        <v>5.633068309368783</v>
      </c>
      <c r="R88">
        <f t="shared" si="48"/>
        <v>6.850538422382169</v>
      </c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</row>
    <row r="89" spans="1:99" ht="12.75">
      <c r="A89" s="1">
        <v>1983</v>
      </c>
      <c r="B89" s="43">
        <f t="shared" si="41"/>
        <v>0.07310770062034067</v>
      </c>
      <c r="C89" s="43">
        <f aca="true" t="shared" si="49" ref="C89:C111">(B89-$C$4*B88)/(1-$C$4)</f>
        <v>0.07330824819764199</v>
      </c>
      <c r="D89" s="43">
        <f aca="true" t="shared" si="50" ref="D89:D111">(B89-($D$4*B88+$D$5*B87))/(1-$D$4-$D$5)</f>
        <v>0.08007858274993021</v>
      </c>
      <c r="E89" s="43">
        <f aca="true" t="shared" si="51" ref="E89:E111">+C89/$E$6</f>
        <v>0.05465031954890641</v>
      </c>
      <c r="F89" s="47">
        <f aca="true" t="shared" si="52" ref="F89:F111">IF($B89&gt;$H$4,(B89-$F$4*B88)/(1-$F$4),IF(B89&gt;$H$5,(B89-$F$5*B88)/(1+$F$5),IF(B89&gt;$H$6,(B89-$F$6*B88)/(1-$F$6),IF(B89&gt;$H$7,(B89-$F$7*B88)/(1-$F$7),IF(B89&gt;$H$8,(B89-$F$8*B88)/(1-$F$8),(B89-$F$9*B88)/(1-$F$9))))))</f>
        <v>0.07324131661899405</v>
      </c>
      <c r="G89" s="47">
        <f t="shared" si="47"/>
        <v>0.07314208855607546</v>
      </c>
      <c r="I89"/>
      <c r="J89" s="47">
        <f t="shared" si="39"/>
        <v>0.07811818575524238</v>
      </c>
      <c r="K89"/>
      <c r="L89"/>
      <c r="M89">
        <f t="shared" si="42"/>
        <v>7.584639999999965</v>
      </c>
      <c r="N89">
        <f t="shared" si="43"/>
        <v>7.606218002542553</v>
      </c>
      <c r="O89">
        <f t="shared" si="44"/>
        <v>8.337219869657142</v>
      </c>
      <c r="P89">
        <f t="shared" si="45"/>
        <v>5.617122766422811</v>
      </c>
      <c r="Q89">
        <f t="shared" si="46"/>
        <v>7.599015989523039</v>
      </c>
      <c r="R89">
        <f t="shared" si="48"/>
        <v>7.588339677298106</v>
      </c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</row>
    <row r="90" spans="1:99" ht="12.75">
      <c r="A90" s="1">
        <v>1984</v>
      </c>
      <c r="B90" s="43">
        <f t="shared" si="41"/>
        <v>0.08484065601200719</v>
      </c>
      <c r="C90" s="43">
        <f t="shared" si="49"/>
        <v>0.0894980799834818</v>
      </c>
      <c r="D90" s="43">
        <f t="shared" si="50"/>
        <v>0.08872275645233846</v>
      </c>
      <c r="E90" s="43">
        <f t="shared" si="51"/>
        <v>0.06671962283049332</v>
      </c>
      <c r="F90" s="47">
        <f t="shared" si="52"/>
        <v>0.08794369202707607</v>
      </c>
      <c r="G90" s="47">
        <f t="shared" si="47"/>
        <v>0.08571392502704193</v>
      </c>
      <c r="I90"/>
      <c r="J90" s="47">
        <f t="shared" si="39"/>
        <v>0.09183205594523645</v>
      </c>
      <c r="K90"/>
      <c r="L90"/>
      <c r="M90">
        <f t="shared" si="42"/>
        <v>8.854359999999994</v>
      </c>
      <c r="N90">
        <f t="shared" si="43"/>
        <v>9.362523353182194</v>
      </c>
      <c r="O90">
        <f t="shared" si="44"/>
        <v>9.277764877267547</v>
      </c>
      <c r="P90">
        <f t="shared" si="45"/>
        <v>6.899571416051997</v>
      </c>
      <c r="Q90">
        <f t="shared" si="46"/>
        <v>9.192663612167863</v>
      </c>
      <c r="R90">
        <f t="shared" si="48"/>
        <v>8.949460657924725</v>
      </c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</row>
    <row r="91" spans="1:99" ht="12.75">
      <c r="A91" s="1">
        <v>1985</v>
      </c>
      <c r="B91" s="43">
        <f t="shared" si="41"/>
        <v>0.07997492076067125</v>
      </c>
      <c r="C91" s="43">
        <f t="shared" si="49"/>
        <v>0.07804345581923658</v>
      </c>
      <c r="D91" s="43">
        <f t="shared" si="50"/>
        <v>0.07715820110227618</v>
      </c>
      <c r="E91" s="43">
        <f t="shared" si="51"/>
        <v>0.05818035356299004</v>
      </c>
      <c r="F91" s="47">
        <f t="shared" si="52"/>
        <v>0.07868807092440498</v>
      </c>
      <c r="G91" s="47">
        <f t="shared" si="47"/>
        <v>0.07958999258963953</v>
      </c>
      <c r="I91"/>
      <c r="J91" s="47">
        <f t="shared" si="39"/>
        <v>0.0762402200066542</v>
      </c>
      <c r="K91"/>
      <c r="L91"/>
      <c r="M91">
        <f t="shared" si="42"/>
        <v>8.325990000000028</v>
      </c>
      <c r="N91">
        <f t="shared" si="43"/>
        <v>8.116964076172618</v>
      </c>
      <c r="O91">
        <f t="shared" si="44"/>
        <v>8.021295375572745</v>
      </c>
      <c r="P91">
        <f t="shared" si="45"/>
        <v>5.990613632144481</v>
      </c>
      <c r="Q91">
        <f t="shared" si="46"/>
        <v>8.186680372015665</v>
      </c>
      <c r="R91">
        <f t="shared" si="48"/>
        <v>8.28430029907905</v>
      </c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</row>
    <row r="92" spans="1:99" ht="12.75">
      <c r="A92" s="1">
        <v>1986</v>
      </c>
      <c r="B92" s="43">
        <f t="shared" si="41"/>
        <v>0.10720362608579492</v>
      </c>
      <c r="C92" s="43">
        <f t="shared" si="49"/>
        <v>0.11801212408652213</v>
      </c>
      <c r="D92" s="43">
        <f t="shared" si="50"/>
        <v>0.11682298805134791</v>
      </c>
      <c r="E92" s="43">
        <f t="shared" si="51"/>
        <v>0.08797646172891468</v>
      </c>
      <c r="F92" s="47">
        <f t="shared" si="52"/>
        <v>0.11235750778947437</v>
      </c>
      <c r="G92" s="47">
        <f t="shared" si="47"/>
        <v>0.10910269537646604</v>
      </c>
      <c r="I92"/>
      <c r="J92" s="47">
        <f t="shared" si="39"/>
        <v>0.11873049881347134</v>
      </c>
      <c r="K92"/>
      <c r="L92"/>
      <c r="M92">
        <f t="shared" si="42"/>
        <v>11.316089999999935</v>
      </c>
      <c r="N92">
        <f t="shared" si="43"/>
        <v>12.525775400700923</v>
      </c>
      <c r="O92">
        <f t="shared" si="44"/>
        <v>12.392046472987683</v>
      </c>
      <c r="P92">
        <f t="shared" si="45"/>
        <v>9.196241881826506</v>
      </c>
      <c r="Q92">
        <f t="shared" si="46"/>
        <v>11.891280919345393</v>
      </c>
      <c r="R92">
        <f t="shared" si="48"/>
        <v>11.527687823947907</v>
      </c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</row>
    <row r="93" spans="1:99" ht="12.75">
      <c r="A93" s="1">
        <v>1987</v>
      </c>
      <c r="B93" s="43">
        <f t="shared" si="41"/>
        <v>0.2314557094116232</v>
      </c>
      <c r="C93" s="43">
        <f t="shared" si="49"/>
        <v>0.2807778632995002</v>
      </c>
      <c r="D93" s="43">
        <f t="shared" si="50"/>
        <v>0.2703563656233064</v>
      </c>
      <c r="E93" s="43">
        <f t="shared" si="51"/>
        <v>0.20931614557487704</v>
      </c>
      <c r="F93" s="47">
        <f t="shared" si="52"/>
        <v>0.1617537917717839</v>
      </c>
      <c r="G93" s="47">
        <f t="shared" si="47"/>
        <v>0.23549495834486917</v>
      </c>
      <c r="I93"/>
      <c r="J93" s="47">
        <f t="shared" si="39"/>
        <v>0.17110357910857946</v>
      </c>
      <c r="K93"/>
      <c r="L93"/>
      <c r="M93">
        <f t="shared" si="42"/>
        <v>26.043349999999954</v>
      </c>
      <c r="N93">
        <f t="shared" si="43"/>
        <v>32.415942685668654</v>
      </c>
      <c r="O93">
        <f t="shared" si="44"/>
        <v>31.043136022154627</v>
      </c>
      <c r="P93">
        <f t="shared" si="45"/>
        <v>23.28346921595321</v>
      </c>
      <c r="Q93">
        <f t="shared" si="46"/>
        <v>17.557077049086665</v>
      </c>
      <c r="R93">
        <f t="shared" si="48"/>
        <v>26.553500085009563</v>
      </c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</row>
    <row r="94" spans="1:99" ht="12.75">
      <c r="A94" s="1">
        <v>1988</v>
      </c>
      <c r="B94" s="43">
        <f t="shared" si="41"/>
        <v>0.2591935507556258</v>
      </c>
      <c r="C94" s="43">
        <f t="shared" si="49"/>
        <v>0.2702041514849419</v>
      </c>
      <c r="D94" s="43">
        <f t="shared" si="50"/>
        <v>0.255936234274692</v>
      </c>
      <c r="E94" s="43">
        <f t="shared" si="51"/>
        <v>0.2014335846940641</v>
      </c>
      <c r="F94" s="47">
        <f t="shared" si="52"/>
        <v>0.15820949173952226</v>
      </c>
      <c r="G94" s="47">
        <f t="shared" si="47"/>
        <v>0.25892727208998684</v>
      </c>
      <c r="I94"/>
      <c r="J94" s="47">
        <f t="shared" si="39"/>
        <v>0.15753862241722036</v>
      </c>
      <c r="K94"/>
      <c r="L94"/>
      <c r="M94">
        <f t="shared" si="42"/>
        <v>29.588460000000172</v>
      </c>
      <c r="N94">
        <f t="shared" si="43"/>
        <v>31.023190922118047</v>
      </c>
      <c r="O94">
        <f t="shared" si="44"/>
        <v>29.167036101620948</v>
      </c>
      <c r="P94">
        <f t="shared" si="45"/>
        <v>22.315499815167673</v>
      </c>
      <c r="Q94">
        <f t="shared" si="46"/>
        <v>17.141157005222496</v>
      </c>
      <c r="R94">
        <f t="shared" si="48"/>
        <v>29.55395795157274</v>
      </c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</row>
    <row r="95" spans="1:99" ht="12.75">
      <c r="A95" s="1">
        <v>1989</v>
      </c>
      <c r="B95" s="43">
        <f t="shared" si="41"/>
        <v>0.14346516393464093</v>
      </c>
      <c r="C95" s="43">
        <f t="shared" si="49"/>
        <v>0.09752651122801177</v>
      </c>
      <c r="D95" s="43">
        <f t="shared" si="50"/>
        <v>0.10186747591135954</v>
      </c>
      <c r="E95" s="43">
        <f t="shared" si="51"/>
        <v>0.07270471105422337</v>
      </c>
      <c r="F95" s="47">
        <f t="shared" si="52"/>
        <v>0.1215599573406766</v>
      </c>
      <c r="G95" s="47">
        <f t="shared" si="47"/>
        <v>0.1354549888975751</v>
      </c>
      <c r="I95"/>
      <c r="J95" s="47">
        <f t="shared" si="39"/>
        <v>0.11462288991381307</v>
      </c>
      <c r="K95"/>
      <c r="L95"/>
      <c r="M95">
        <f t="shared" si="42"/>
        <v>15.426659999999925</v>
      </c>
      <c r="N95">
        <f t="shared" si="43"/>
        <v>10.244066823183196</v>
      </c>
      <c r="O95">
        <f t="shared" si="44"/>
        <v>10.72367264664229</v>
      </c>
      <c r="P95">
        <f t="shared" si="45"/>
        <v>7.541293247336633</v>
      </c>
      <c r="Q95">
        <f t="shared" si="46"/>
        <v>12.925707114635099</v>
      </c>
      <c r="R95">
        <f t="shared" si="48"/>
        <v>14.505765436711204</v>
      </c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</row>
    <row r="96" spans="1:99" ht="12.75">
      <c r="A96" s="1">
        <v>1990</v>
      </c>
      <c r="B96" s="43">
        <f t="shared" si="41"/>
        <v>-0.08831331505239248</v>
      </c>
      <c r="C96" s="43">
        <f t="shared" si="49"/>
        <v>-0.18031832215169963</v>
      </c>
      <c r="D96" s="43">
        <f t="shared" si="50"/>
        <v>-0.1543163670199841</v>
      </c>
      <c r="E96" s="43">
        <f t="shared" si="51"/>
        <v>-0.13442489990410122</v>
      </c>
      <c r="F96" s="47">
        <f t="shared" si="52"/>
        <v>-0.24881852351429365</v>
      </c>
      <c r="G96" s="47">
        <f t="shared" si="47"/>
        <v>-0.11081243367149855</v>
      </c>
      <c r="I96"/>
      <c r="J96" s="47">
        <f t="shared" si="39"/>
        <v>-0.5053034031253769</v>
      </c>
      <c r="K96"/>
      <c r="L96"/>
      <c r="M96">
        <f t="shared" si="42"/>
        <v>-8.452599999999933</v>
      </c>
      <c r="N96">
        <f t="shared" si="43"/>
        <v>-16.499563128562055</v>
      </c>
      <c r="O96">
        <f t="shared" si="44"/>
        <v>-14.299914868630935</v>
      </c>
      <c r="P96">
        <f t="shared" si="45"/>
        <v>-12.578146969321057</v>
      </c>
      <c r="Q96">
        <f t="shared" si="46"/>
        <v>-22.027853834339382</v>
      </c>
      <c r="R96">
        <f t="shared" si="48"/>
        <v>-10.489337495213725</v>
      </c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</row>
    <row r="97" spans="1:99" ht="12.75">
      <c r="A97" s="1">
        <v>1991</v>
      </c>
      <c r="B97" s="43">
        <f t="shared" si="41"/>
        <v>-0.03183943791516519</v>
      </c>
      <c r="C97" s="43">
        <f t="shared" si="49"/>
        <v>-0.009422000844889693</v>
      </c>
      <c r="D97" s="43">
        <f t="shared" si="50"/>
        <v>0.010513096050869667</v>
      </c>
      <c r="E97" s="43">
        <f t="shared" si="51"/>
        <v>-0.007023975741106994</v>
      </c>
      <c r="F97" s="47">
        <f t="shared" si="52"/>
        <v>-0.0065671121304516945</v>
      </c>
      <c r="G97" s="47">
        <f t="shared" si="47"/>
        <v>-0.02436705843453797</v>
      </c>
      <c r="I97"/>
      <c r="J97" s="47">
        <f t="shared" si="39"/>
        <v>0.10184153449783771</v>
      </c>
      <c r="K97"/>
      <c r="L97"/>
      <c r="M97">
        <f t="shared" si="42"/>
        <v>-3.1337900000000807</v>
      </c>
      <c r="N97">
        <f t="shared" si="43"/>
        <v>-0.9377752872119283</v>
      </c>
      <c r="O97">
        <f t="shared" si="44"/>
        <v>1.0568552815542143</v>
      </c>
      <c r="P97">
        <f t="shared" si="45"/>
        <v>-0.6999365278310687</v>
      </c>
      <c r="Q97">
        <f t="shared" si="46"/>
        <v>-0.654559577545466</v>
      </c>
      <c r="R97">
        <f t="shared" si="48"/>
        <v>-2.4072578386010846</v>
      </c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</row>
    <row r="98" spans="1:99" ht="12.75">
      <c r="A98" s="1">
        <v>1992</v>
      </c>
      <c r="B98" s="43">
        <f t="shared" si="41"/>
        <v>-0.01686756082095897</v>
      </c>
      <c r="C98" s="43">
        <f t="shared" si="49"/>
        <v>-0.010924439335467391</v>
      </c>
      <c r="D98" s="43">
        <f t="shared" si="50"/>
        <v>-0.017555331968930714</v>
      </c>
      <c r="E98" s="43">
        <f t="shared" si="51"/>
        <v>-0.008144023561527956</v>
      </c>
      <c r="F98" s="47">
        <f t="shared" si="52"/>
        <v>-0.010167575363717414</v>
      </c>
      <c r="G98" s="47">
        <f t="shared" si="47"/>
        <v>-0.012255039164063536</v>
      </c>
      <c r="I98"/>
      <c r="J98" s="47">
        <f t="shared" si="39"/>
        <v>-0.011778799604367125</v>
      </c>
      <c r="K98"/>
      <c r="L98"/>
      <c r="M98">
        <f t="shared" si="42"/>
        <v>-1.67261000000003</v>
      </c>
      <c r="N98">
        <f t="shared" si="43"/>
        <v>-1.0864984349155837</v>
      </c>
      <c r="O98">
        <f t="shared" si="44"/>
        <v>-1.740213491367093</v>
      </c>
      <c r="P98">
        <f t="shared" si="45"/>
        <v>-0.8110950844204545</v>
      </c>
      <c r="Q98">
        <f t="shared" si="46"/>
        <v>-1.0116060311553876</v>
      </c>
      <c r="R98">
        <f t="shared" si="48"/>
        <v>-1.218025198993422</v>
      </c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</row>
    <row r="99" spans="1:99" ht="12.75">
      <c r="A99" s="1">
        <v>1993</v>
      </c>
      <c r="B99" s="43">
        <f t="shared" si="41"/>
        <v>0.1844581892349666</v>
      </c>
      <c r="C99" s="43">
        <f t="shared" si="49"/>
        <v>0.2643749146536583</v>
      </c>
      <c r="D99" s="43">
        <f t="shared" si="50"/>
        <v>0.25043423866060527</v>
      </c>
      <c r="E99" s="43">
        <f t="shared" si="51"/>
        <v>0.1970879665216447</v>
      </c>
      <c r="F99" s="47">
        <f t="shared" si="52"/>
        <v>0.22256536646955158</v>
      </c>
      <c r="G99" s="47">
        <f t="shared" si="47"/>
        <v>0.2676934552997891</v>
      </c>
      <c r="I99"/>
      <c r="J99" s="47">
        <f t="shared" si="39"/>
        <v>0.17885024690611787</v>
      </c>
      <c r="K99"/>
      <c r="L99"/>
      <c r="M99">
        <f t="shared" si="42"/>
        <v>20.25666999999998</v>
      </c>
      <c r="N99">
        <f t="shared" si="43"/>
        <v>30.26164747682858</v>
      </c>
      <c r="O99">
        <f t="shared" si="44"/>
        <v>28.458311124237202</v>
      </c>
      <c r="P99">
        <f t="shared" si="45"/>
        <v>21.785116612507906</v>
      </c>
      <c r="Q99">
        <f t="shared" si="46"/>
        <v>24.92774778399869</v>
      </c>
      <c r="R99">
        <f t="shared" si="48"/>
        <v>30.694644109703127</v>
      </c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</row>
    <row r="100" spans="1:99" ht="12.75">
      <c r="A100" s="1">
        <v>1994</v>
      </c>
      <c r="B100" s="43">
        <f t="shared" si="41"/>
        <v>0.11248234511930555</v>
      </c>
      <c r="C100" s="43">
        <f t="shared" si="49"/>
        <v>0.08391136614929305</v>
      </c>
      <c r="D100" s="43">
        <f t="shared" si="50"/>
        <v>0.06801044776503344</v>
      </c>
      <c r="E100" s="43">
        <f t="shared" si="51"/>
        <v>0.06255480231202222</v>
      </c>
      <c r="F100" s="47">
        <f t="shared" si="52"/>
        <v>0.0988586718059691</v>
      </c>
      <c r="G100" s="47">
        <f t="shared" si="47"/>
        <v>0.09652735614186532</v>
      </c>
      <c r="I100"/>
      <c r="J100" s="47">
        <f t="shared" si="39"/>
        <v>0.06614173766345369</v>
      </c>
      <c r="K100"/>
      <c r="L100"/>
      <c r="M100">
        <f t="shared" si="42"/>
        <v>11.905249999999977</v>
      </c>
      <c r="N100">
        <f t="shared" si="43"/>
        <v>8.753249734388579</v>
      </c>
      <c r="O100">
        <f t="shared" si="44"/>
        <v>7.037649146243585</v>
      </c>
      <c r="P100">
        <f t="shared" si="45"/>
        <v>6.455279727386687</v>
      </c>
      <c r="Q100">
        <f t="shared" si="46"/>
        <v>10.391027488827698</v>
      </c>
      <c r="R100">
        <f t="shared" si="48"/>
        <v>10.13397091370245</v>
      </c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</row>
    <row r="101" spans="1:99" ht="12.75">
      <c r="A101" s="1">
        <v>1995</v>
      </c>
      <c r="B101" s="43">
        <f t="shared" si="41"/>
        <v>0.03529860867027779</v>
      </c>
      <c r="C101" s="43">
        <f t="shared" si="49"/>
        <v>0.004660344708155909</v>
      </c>
      <c r="D101" s="43">
        <f t="shared" si="50"/>
        <v>0.016698027055961854</v>
      </c>
      <c r="E101" s="43">
        <f t="shared" si="51"/>
        <v>0.003474224712369647</v>
      </c>
      <c r="F101" s="47">
        <f t="shared" si="52"/>
        <v>0.014885685754962873</v>
      </c>
      <c r="G101" s="47">
        <f t="shared" si="47"/>
        <v>-0.02341460060743674</v>
      </c>
      <c r="I101"/>
      <c r="J101" s="47">
        <f t="shared" si="39"/>
        <v>-0.0226926206793459</v>
      </c>
      <c r="K101"/>
      <c r="L101"/>
      <c r="M101">
        <f t="shared" si="42"/>
        <v>3.59290000000001</v>
      </c>
      <c r="N101">
        <f t="shared" si="43"/>
        <v>0.4671221003753834</v>
      </c>
      <c r="O101">
        <f t="shared" si="44"/>
        <v>1.6838218328626198</v>
      </c>
      <c r="P101">
        <f t="shared" si="45"/>
        <v>0.34802668262399195</v>
      </c>
      <c r="Q101">
        <f t="shared" si="46"/>
        <v>1.4997029364477443</v>
      </c>
      <c r="R101">
        <f t="shared" si="48"/>
        <v>-2.314260586511274</v>
      </c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</row>
    <row r="102" spans="1:99" ht="12.75">
      <c r="A102" s="1">
        <v>1996</v>
      </c>
      <c r="B102" s="43">
        <f t="shared" si="41"/>
        <v>0.09618961117299385</v>
      </c>
      <c r="C102" s="43">
        <f t="shared" si="49"/>
        <v>0.12036043644560139</v>
      </c>
      <c r="D102" s="43">
        <f t="shared" si="50"/>
        <v>0.12440107081122433</v>
      </c>
      <c r="E102" s="43">
        <f t="shared" si="51"/>
        <v>0.08972709721645666</v>
      </c>
      <c r="F102" s="47">
        <f t="shared" si="52"/>
        <v>0.11229356516004974</v>
      </c>
      <c r="G102" s="47">
        <f t="shared" si="47"/>
        <v>0.1574527560027191</v>
      </c>
      <c r="I102"/>
      <c r="J102" s="47">
        <f t="shared" si="39"/>
        <v>0.1307310443374704</v>
      </c>
      <c r="K102"/>
      <c r="L102"/>
      <c r="M102">
        <f t="shared" si="42"/>
        <v>10.096780000000049</v>
      </c>
      <c r="N102">
        <f t="shared" si="43"/>
        <v>12.790331578484192</v>
      </c>
      <c r="O102">
        <f t="shared" si="44"/>
        <v>13.246998058183767</v>
      </c>
      <c r="P102">
        <f t="shared" si="45"/>
        <v>9.387572123862276</v>
      </c>
      <c r="Q102">
        <f t="shared" si="46"/>
        <v>11.884126525371542</v>
      </c>
      <c r="R102">
        <f t="shared" si="48"/>
        <v>17.052545637389137</v>
      </c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</row>
    <row r="103" spans="1:99" ht="12.75">
      <c r="A103" s="1">
        <v>1997</v>
      </c>
      <c r="B103" s="43">
        <f t="shared" si="41"/>
        <v>0.1563691030201788</v>
      </c>
      <c r="C103" s="43">
        <f t="shared" si="49"/>
        <v>0.18025749248080125</v>
      </c>
      <c r="D103" s="43">
        <f t="shared" si="50"/>
        <v>0.1703895991806965</v>
      </c>
      <c r="E103" s="43">
        <f t="shared" si="51"/>
        <v>0.1343795521972008</v>
      </c>
      <c r="F103" s="47">
        <f t="shared" si="52"/>
        <v>0.16775994875685632</v>
      </c>
      <c r="G103" s="47">
        <f t="shared" si="47"/>
        <v>0.21655668045876406</v>
      </c>
      <c r="I103"/>
      <c r="J103" s="47">
        <f t="shared" si="39"/>
        <v>0.1782586917626459</v>
      </c>
      <c r="K103"/>
      <c r="L103"/>
      <c r="M103">
        <f t="shared" si="42"/>
        <v>16.925770000000128</v>
      </c>
      <c r="N103">
        <f t="shared" si="43"/>
        <v>19.75256772832843</v>
      </c>
      <c r="O103">
        <f t="shared" si="44"/>
        <v>18.576673508824193</v>
      </c>
      <c r="P103">
        <f t="shared" si="45"/>
        <v>14.382687927053816</v>
      </c>
      <c r="Q103">
        <f t="shared" si="46"/>
        <v>18.265267932426177</v>
      </c>
      <c r="R103">
        <f t="shared" si="48"/>
        <v>24.17934687826284</v>
      </c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</row>
    <row r="104" spans="1:99" ht="12.75">
      <c r="A104" s="1">
        <v>1998</v>
      </c>
      <c r="B104" s="43">
        <f t="shared" si="41"/>
        <v>0.11099086544871994</v>
      </c>
      <c r="C104" s="43">
        <f t="shared" si="49"/>
        <v>0.0929778683483736</v>
      </c>
      <c r="D104" s="43">
        <f t="shared" si="50"/>
        <v>0.089697914923867</v>
      </c>
      <c r="E104" s="43">
        <f t="shared" si="51"/>
        <v>0.06931375856254891</v>
      </c>
      <c r="F104" s="47">
        <f t="shared" si="52"/>
        <v>0.10240161871178577</v>
      </c>
      <c r="G104" s="47">
        <f t="shared" si="47"/>
        <v>0.058964967112462865</v>
      </c>
      <c r="I104"/>
      <c r="J104" s="47">
        <f t="shared" si="39"/>
        <v>0.09003051632626309</v>
      </c>
      <c r="K104"/>
      <c r="L104"/>
      <c r="M104">
        <f t="shared" si="42"/>
        <v>11.7384699999999</v>
      </c>
      <c r="N104">
        <f t="shared" si="43"/>
        <v>9.74374468960557</v>
      </c>
      <c r="O104">
        <f t="shared" si="44"/>
        <v>9.384379990303993</v>
      </c>
      <c r="P104">
        <f t="shared" si="45"/>
        <v>7.177243417717394</v>
      </c>
      <c r="Q104">
        <f t="shared" si="46"/>
        <v>10.782830697240131</v>
      </c>
      <c r="R104">
        <f t="shared" si="48"/>
        <v>6.0738079371386755</v>
      </c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</row>
    <row r="105" spans="1:99" ht="12.75">
      <c r="A105" s="1">
        <v>1999</v>
      </c>
      <c r="B105" s="43">
        <f t="shared" si="41"/>
        <v>0.13684822335481783</v>
      </c>
      <c r="C105" s="43">
        <f t="shared" si="49"/>
        <v>0.1471123618033791</v>
      </c>
      <c r="D105" s="43">
        <f t="shared" si="50"/>
        <v>0.15010166592653446</v>
      </c>
      <c r="E105" s="43">
        <f t="shared" si="51"/>
        <v>0.10967030013421608</v>
      </c>
      <c r="F105" s="47">
        <f t="shared" si="52"/>
        <v>0.14174253478925705</v>
      </c>
      <c r="G105" s="47">
        <f t="shared" si="47"/>
        <v>0.16140011120472725</v>
      </c>
      <c r="I105"/>
      <c r="J105" s="47">
        <f t="shared" si="39"/>
        <v>0.1491890301388022</v>
      </c>
      <c r="K105"/>
      <c r="L105"/>
      <c r="M105">
        <f t="shared" si="42"/>
        <v>14.665409999999968</v>
      </c>
      <c r="N105">
        <f t="shared" si="43"/>
        <v>15.848412508257725</v>
      </c>
      <c r="O105">
        <f t="shared" si="44"/>
        <v>16.19523676875896</v>
      </c>
      <c r="P105">
        <f t="shared" si="45"/>
        <v>11.591009439302645</v>
      </c>
      <c r="Q105">
        <f t="shared" si="46"/>
        <v>15.227993834520714</v>
      </c>
      <c r="R105">
        <f t="shared" si="48"/>
        <v>17.515506747151743</v>
      </c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</row>
    <row r="106" spans="1:99" ht="12.75">
      <c r="A106" s="1">
        <v>2000</v>
      </c>
      <c r="B106" s="43">
        <f t="shared" si="41"/>
        <v>0.09973374503338306</v>
      </c>
      <c r="C106" s="43">
        <f t="shared" si="49"/>
        <v>0.08500106641553037</v>
      </c>
      <c r="D106" s="43">
        <f t="shared" si="50"/>
        <v>0.08467924481022432</v>
      </c>
      <c r="E106" s="43">
        <f t="shared" si="51"/>
        <v>0.06336715930085439</v>
      </c>
      <c r="F106" s="47">
        <f t="shared" si="52"/>
        <v>0.08991801156577743</v>
      </c>
      <c r="G106" s="47">
        <f t="shared" si="47"/>
        <v>0.07059211335222626</v>
      </c>
      <c r="I106"/>
      <c r="J106" s="47">
        <f t="shared" si="39"/>
        <v>0.07621188581501814</v>
      </c>
      <c r="K106"/>
      <c r="L106"/>
      <c r="M106">
        <f t="shared" si="42"/>
        <v>10.487669999999948</v>
      </c>
      <c r="N106">
        <f t="shared" si="43"/>
        <v>8.87182277238059</v>
      </c>
      <c r="O106">
        <f t="shared" si="44"/>
        <v>8.83679110487947</v>
      </c>
      <c r="P106">
        <f t="shared" si="45"/>
        <v>6.541794553575375</v>
      </c>
      <c r="Q106">
        <f t="shared" si="46"/>
        <v>9.408457774639857</v>
      </c>
      <c r="R106">
        <f t="shared" si="48"/>
        <v>7.314341571555283</v>
      </c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</row>
    <row r="107" spans="1:99" ht="12.75">
      <c r="A107" s="1">
        <v>2001</v>
      </c>
      <c r="B107" s="43">
        <f t="shared" si="41"/>
        <v>0.06490186137151355</v>
      </c>
      <c r="C107" s="43">
        <f t="shared" si="49"/>
        <v>0.051075264020463425</v>
      </c>
      <c r="D107" s="43">
        <f t="shared" si="50"/>
        <v>0.05697584114422915</v>
      </c>
      <c r="E107" s="43">
        <f t="shared" si="51"/>
        <v>0.038075926903036704</v>
      </c>
      <c r="F107" s="47">
        <f t="shared" si="52"/>
        <v>0.055689809857856674</v>
      </c>
      <c r="G107" s="47">
        <f t="shared" si="47"/>
        <v>0.04028445305939724</v>
      </c>
      <c r="I107"/>
      <c r="J107" s="47">
        <f t="shared" si="39"/>
        <v>0.04663741520662004</v>
      </c>
      <c r="K107"/>
      <c r="L107"/>
      <c r="M107">
        <f t="shared" si="42"/>
        <v>6.705430000000034</v>
      </c>
      <c r="N107">
        <f t="shared" si="43"/>
        <v>5.240209831558529</v>
      </c>
      <c r="O107">
        <f t="shared" si="44"/>
        <v>5.863023479140561</v>
      </c>
      <c r="P107">
        <f t="shared" si="45"/>
        <v>3.881010351826153</v>
      </c>
      <c r="Q107">
        <f t="shared" si="46"/>
        <v>5.726967823542917</v>
      </c>
      <c r="R107">
        <f t="shared" si="48"/>
        <v>4.110687811319735</v>
      </c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</row>
    <row r="108" spans="1:99" ht="12.75">
      <c r="A108" s="1">
        <v>2002</v>
      </c>
      <c r="B108" s="43">
        <f t="shared" si="41"/>
        <v>0.09221457517876175</v>
      </c>
      <c r="C108" s="43">
        <f t="shared" si="49"/>
        <v>0.1030564205421434</v>
      </c>
      <c r="D108" s="43">
        <f t="shared" si="50"/>
        <v>0.10489017725144215</v>
      </c>
      <c r="E108" s="43">
        <f t="shared" si="51"/>
        <v>0.07682718456196555</v>
      </c>
      <c r="F108" s="47">
        <f t="shared" si="52"/>
        <v>0.09943801818898204</v>
      </c>
      <c r="G108" s="47">
        <f t="shared" si="47"/>
        <v>0.11054911931428021</v>
      </c>
      <c r="I108"/>
      <c r="J108" s="47">
        <f t="shared" si="39"/>
        <v>0.11100818627660965</v>
      </c>
      <c r="K108"/>
      <c r="L108"/>
      <c r="M108">
        <f t="shared" si="42"/>
        <v>9.660010000000119</v>
      </c>
      <c r="N108">
        <f t="shared" si="43"/>
        <v>10.855395252661971</v>
      </c>
      <c r="O108">
        <f t="shared" si="44"/>
        <v>11.058863576153888</v>
      </c>
      <c r="P108">
        <f t="shared" si="45"/>
        <v>7.985544457496707</v>
      </c>
      <c r="Q108">
        <f t="shared" si="46"/>
        <v>10.455000660843993</v>
      </c>
      <c r="R108">
        <f t="shared" si="48"/>
        <v>11.68912086350684</v>
      </c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</row>
    <row r="109" spans="1:99" ht="12.75">
      <c r="A109" s="1">
        <v>2003</v>
      </c>
      <c r="B109" s="43">
        <f t="shared" si="41"/>
        <v>0.10358863680723651</v>
      </c>
      <c r="C109" s="43">
        <f t="shared" si="49"/>
        <v>0.108103597063466</v>
      </c>
      <c r="D109" s="43">
        <f t="shared" si="50"/>
        <v>0.10464153115730727</v>
      </c>
      <c r="E109" s="43">
        <f t="shared" si="51"/>
        <v>0.08058978722253343</v>
      </c>
      <c r="F109" s="47">
        <f t="shared" si="52"/>
        <v>0.10574153270968803</v>
      </c>
      <c r="G109" s="47">
        <f t="shared" si="47"/>
        <v>0.11156731277849387</v>
      </c>
      <c r="I109"/>
      <c r="J109" s="47">
        <f t="shared" si="39"/>
        <v>0.10693466942952938</v>
      </c>
      <c r="K109"/>
      <c r="L109"/>
      <c r="M109">
        <f t="shared" si="42"/>
        <v>10.914409999999952</v>
      </c>
      <c r="N109">
        <f t="shared" si="43"/>
        <v>11.4163163439833</v>
      </c>
      <c r="O109">
        <f t="shared" si="44"/>
        <v>11.031252656322543</v>
      </c>
      <c r="P109">
        <f t="shared" si="45"/>
        <v>8.39261649929992</v>
      </c>
      <c r="Q109">
        <f t="shared" si="46"/>
        <v>11.153454405342057</v>
      </c>
      <c r="R109">
        <f t="shared" si="48"/>
        <v>11.802899911105413</v>
      </c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</row>
    <row r="110" spans="1:99" ht="12.75">
      <c r="A110" s="1">
        <v>2004</v>
      </c>
      <c r="B110" s="43">
        <f t="shared" si="41"/>
        <v>0.16834635701177092</v>
      </c>
      <c r="C110" s="43">
        <f t="shared" si="49"/>
        <v>0.1940520848825904</v>
      </c>
      <c r="D110" s="43">
        <f t="shared" si="50"/>
        <v>0.18890526480177888</v>
      </c>
      <c r="E110" s="43">
        <f t="shared" si="51"/>
        <v>0.1446632365211285</v>
      </c>
      <c r="F110" s="47">
        <f t="shared" si="52"/>
        <v>0.1806037752528869</v>
      </c>
      <c r="G110" s="47">
        <f t="shared" si="47"/>
        <v>0.21323905416996988</v>
      </c>
      <c r="I110"/>
      <c r="J110" s="47">
        <f t="shared" si="39"/>
        <v>0.19477378949090515</v>
      </c>
      <c r="K110"/>
      <c r="L110"/>
      <c r="M110">
        <f t="shared" si="42"/>
        <v>18.334640000000025</v>
      </c>
      <c r="N110">
        <f t="shared" si="43"/>
        <v>21.415952066543433</v>
      </c>
      <c r="O110">
        <f t="shared" si="44"/>
        <v>20.79265139045754</v>
      </c>
      <c r="P110">
        <f t="shared" si="45"/>
        <v>15.56503239062832</v>
      </c>
      <c r="Q110">
        <f t="shared" si="46"/>
        <v>19.79404316014508</v>
      </c>
      <c r="R110">
        <f t="shared" si="48"/>
        <v>23.768048856350088</v>
      </c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</row>
    <row r="111" spans="1:99" ht="12.75">
      <c r="A111" s="1">
        <v>2005</v>
      </c>
      <c r="B111" s="43">
        <f t="shared" si="41"/>
        <v>0.17479329037316305</v>
      </c>
      <c r="C111" s="43">
        <f t="shared" si="49"/>
        <v>0.17735241558735876</v>
      </c>
      <c r="D111" s="43">
        <f t="shared" si="50"/>
        <v>0.17041068261290485</v>
      </c>
      <c r="E111" s="43">
        <f t="shared" si="51"/>
        <v>0.13221385618830497</v>
      </c>
      <c r="F111" s="47">
        <f t="shared" si="52"/>
        <v>0.17601357358161446</v>
      </c>
      <c r="G111" s="47">
        <f t="shared" si="47"/>
        <v>0.17916078734473373</v>
      </c>
      <c r="I111"/>
      <c r="J111" s="47">
        <f t="shared" si="39"/>
        <v>0.17514473475408707</v>
      </c>
      <c r="K111"/>
      <c r="L111"/>
      <c r="M111">
        <f t="shared" si="42"/>
        <v>19.100000000000005</v>
      </c>
      <c r="N111">
        <f t="shared" si="43"/>
        <v>19.405182146116996</v>
      </c>
      <c r="O111">
        <f t="shared" si="44"/>
        <v>18.579173538436123</v>
      </c>
      <c r="P111">
        <f t="shared" si="45"/>
        <v>14.135237843868854</v>
      </c>
      <c r="Q111">
        <f t="shared" si="46"/>
        <v>19.24542444158279</v>
      </c>
      <c r="R111">
        <f t="shared" si="48"/>
        <v>19.62130646285185</v>
      </c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</row>
    <row r="112" spans="2:99" ht="12.75">
      <c r="B112" s="44"/>
      <c r="C112" s="43"/>
      <c r="D112" s="43"/>
      <c r="E112" s="38"/>
      <c r="F112" s="38"/>
      <c r="G112" s="38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</row>
    <row r="113" spans="2:99" ht="13.5" thickBot="1">
      <c r="B113" s="43"/>
      <c r="C113" s="60" t="s">
        <v>75</v>
      </c>
      <c r="D113" s="34"/>
      <c r="E113" s="35"/>
      <c r="F113" s="34"/>
      <c r="G113" s="34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</row>
    <row r="114" spans="2:99" ht="25.5">
      <c r="B114" s="43" t="s">
        <v>1</v>
      </c>
      <c r="C114" s="42" t="s">
        <v>58</v>
      </c>
      <c r="D114" s="42" t="s">
        <v>59</v>
      </c>
      <c r="E114" s="42" t="s">
        <v>4</v>
      </c>
      <c r="F114" s="42" t="s">
        <v>5</v>
      </c>
      <c r="G114" s="42" t="s">
        <v>62</v>
      </c>
      <c r="H114" s="11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</row>
    <row r="115" spans="1:99" ht="12.75">
      <c r="A115" s="1">
        <v>1946</v>
      </c>
      <c r="B115" s="43"/>
      <c r="C115" s="43"/>
      <c r="D115" s="43"/>
      <c r="E115" s="43"/>
      <c r="F115" s="43"/>
      <c r="G115" s="43"/>
      <c r="H115" s="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</row>
    <row r="116" spans="1:99" ht="12.75">
      <c r="A116" s="1">
        <v>1947</v>
      </c>
      <c r="B116" s="43"/>
      <c r="C116" s="43"/>
      <c r="D116" s="43"/>
      <c r="E116" s="43"/>
      <c r="F116" s="43"/>
      <c r="G116" s="43"/>
      <c r="H116" s="5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</row>
    <row r="117" spans="1:99" ht="12.75">
      <c r="A117" s="1">
        <v>1948</v>
      </c>
      <c r="B117" s="43"/>
      <c r="C117" s="43"/>
      <c r="D117" s="43"/>
      <c r="E117" s="43"/>
      <c r="F117" s="43"/>
      <c r="G117" s="43"/>
      <c r="H117" s="5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</row>
    <row r="118" spans="1:99" ht="12.75">
      <c r="A118" s="1">
        <v>1949</v>
      </c>
      <c r="B118" s="43"/>
      <c r="C118" s="43"/>
      <c r="D118" s="43"/>
      <c r="E118" s="43"/>
      <c r="F118" s="43"/>
      <c r="G118" s="43"/>
      <c r="H118" s="5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</row>
    <row r="119" spans="1:99" ht="12.75">
      <c r="A119" s="1">
        <v>1950</v>
      </c>
      <c r="B119" s="43">
        <f>LN('Annual Total Returns'!B124)</f>
        <v>4.605170185988092</v>
      </c>
      <c r="C119" s="43">
        <f>LN('Annual Total Returns'!C124)</f>
        <v>4.605170185988092</v>
      </c>
      <c r="D119" s="43">
        <f>LN('Annual Total Returns'!D124)</f>
        <v>4.605170185988092</v>
      </c>
      <c r="E119" s="43">
        <f>LN('Annual Total Returns'!E124)</f>
        <v>4.605170185988092</v>
      </c>
      <c r="F119" s="43">
        <f>LN('Annual Total Returns'!F124)</f>
        <v>4.605170185988092</v>
      </c>
      <c r="G119" s="43">
        <f>LN('Annual Total Returns'!G124)</f>
        <v>4.605170185988092</v>
      </c>
      <c r="H119" s="5"/>
      <c r="I119"/>
      <c r="J119" s="43">
        <f>LN('Annual Total Returns'!J124)</f>
        <v>4.605170185988092</v>
      </c>
      <c r="K119"/>
      <c r="L119" s="1">
        <v>1950</v>
      </c>
      <c r="M119" s="43">
        <v>100</v>
      </c>
      <c r="N119" s="43">
        <v>100</v>
      </c>
      <c r="O119" s="43">
        <v>100</v>
      </c>
      <c r="P119" s="43">
        <v>100</v>
      </c>
      <c r="Q119" s="43">
        <v>100</v>
      </c>
      <c r="R119" s="43">
        <v>100</v>
      </c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</row>
    <row r="120" spans="1:99" ht="12.75">
      <c r="A120" s="1">
        <v>1951</v>
      </c>
      <c r="B120" s="43">
        <f>LN('Annual Total Returns'!B125)</f>
        <v>4.617098756853365</v>
      </c>
      <c r="C120" s="43">
        <f>LN('Annual Total Returns'!C125)</f>
        <v>4.569023968314256</v>
      </c>
      <c r="D120" s="43">
        <f>LN('Annual Total Returns'!D125)</f>
        <v>4.6016702841227906</v>
      </c>
      <c r="E120" s="43">
        <f>LN('Annual Total Returns'!E125)</f>
        <v>4.571456208393633</v>
      </c>
      <c r="F120" s="43">
        <f>LN('Annual Total Returns'!F125)</f>
        <v>4.56247579558479</v>
      </c>
      <c r="G120" s="43">
        <f>LN('Annual Total Returns'!G125)</f>
        <v>4.605170185988092</v>
      </c>
      <c r="H120" s="5"/>
      <c r="I120"/>
      <c r="J120" s="43">
        <f>LN('Annual Total Returns'!J125)</f>
        <v>4.686750172980514</v>
      </c>
      <c r="K120"/>
      <c r="L120" s="1">
        <v>1951</v>
      </c>
      <c r="M120" s="43">
        <f aca="true" t="shared" si="53" ref="M120:R135">+M119*(1+M57/100)</f>
        <v>101.19999999999996</v>
      </c>
      <c r="N120" s="43">
        <f t="shared" si="53"/>
        <v>101.68032577932951</v>
      </c>
      <c r="O120" s="43">
        <f t="shared" si="53"/>
        <v>101.60548138538034</v>
      </c>
      <c r="P120" s="43">
        <f t="shared" si="53"/>
        <v>101.25000046525648</v>
      </c>
      <c r="Q120" s="43">
        <f t="shared" si="53"/>
        <v>101.741659296965</v>
      </c>
      <c r="R120" s="43">
        <f t="shared" si="53"/>
        <v>100</v>
      </c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</row>
    <row r="121" spans="1:99" ht="12.75">
      <c r="A121" s="1">
        <v>1952</v>
      </c>
      <c r="B121" s="43">
        <f>LN('Annual Total Returns'!B126)</f>
        <v>4.5907547815137635</v>
      </c>
      <c r="C121" s="43">
        <f>LN('Annual Total Returns'!C126)</f>
        <v>4.528432320518488</v>
      </c>
      <c r="D121" s="43">
        <f>LN('Annual Total Returns'!D126)</f>
        <v>4.649054940890389</v>
      </c>
      <c r="E121" s="43">
        <f>LN('Annual Total Returns'!E126)</f>
        <v>4.533601628221304</v>
      </c>
      <c r="F121" s="43">
        <f>LN('Annual Total Returns'!F126)</f>
        <v>4.519980637677112</v>
      </c>
      <c r="G121" s="43">
        <f>LN('Annual Total Returns'!G126)</f>
        <v>4.605170185988092</v>
      </c>
      <c r="H121" s="5"/>
      <c r="I121"/>
      <c r="J121" s="43">
        <f>LN('Annual Total Returns'!J126)</f>
        <v>4.6857496726469305</v>
      </c>
      <c r="K121"/>
      <c r="L121" s="1">
        <v>1952</v>
      </c>
      <c r="M121" s="43">
        <f t="shared" si="53"/>
        <v>98.56879999999998</v>
      </c>
      <c r="N121" s="43">
        <f t="shared" si="53"/>
        <v>97.54340702046885</v>
      </c>
      <c r="O121" s="43">
        <f t="shared" si="53"/>
        <v>97.58446412866374</v>
      </c>
      <c r="P121" s="43">
        <f t="shared" si="53"/>
        <v>98.16285796600631</v>
      </c>
      <c r="Q121" s="43">
        <f t="shared" si="53"/>
        <v>97.41358999401137</v>
      </c>
      <c r="R121" s="43">
        <f t="shared" si="53"/>
        <v>100</v>
      </c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</row>
    <row r="122" spans="1:99" ht="12.75">
      <c r="A122" s="1">
        <v>1953</v>
      </c>
      <c r="B122" s="43">
        <f>LN('Annual Total Returns'!B127)</f>
        <v>4.658413429987578</v>
      </c>
      <c r="C122" s="43">
        <f>LN('Annual Total Returns'!C127)</f>
        <v>4.628105428243001</v>
      </c>
      <c r="D122" s="43">
        <f>LN('Annual Total Returns'!D127)</f>
        <v>4.6977546653436</v>
      </c>
      <c r="E122" s="43">
        <f>LN('Annual Total Returns'!E127)</f>
        <v>4.626978519402055</v>
      </c>
      <c r="F122" s="43">
        <f>LN('Annual Total Returns'!F127)</f>
        <v>4.608615022330435</v>
      </c>
      <c r="G122" s="43">
        <f>LN('Annual Total Returns'!G127)</f>
        <v>4.605170185988092</v>
      </c>
      <c r="H122" s="5"/>
      <c r="I122"/>
      <c r="J122" s="43">
        <f>LN('Annual Total Returns'!J127)</f>
        <v>4.902472656158218</v>
      </c>
      <c r="K122"/>
      <c r="L122" s="1">
        <v>1953</v>
      </c>
      <c r="M122" s="43">
        <f t="shared" si="53"/>
        <v>105.46861599999998</v>
      </c>
      <c r="N122" s="43">
        <f t="shared" si="53"/>
        <v>108.33959457753467</v>
      </c>
      <c r="O122" s="43">
        <f t="shared" si="53"/>
        <v>108.17563989146605</v>
      </c>
      <c r="P122" s="43">
        <f t="shared" si="53"/>
        <v>106.15327498208238</v>
      </c>
      <c r="Q122" s="43">
        <f t="shared" si="53"/>
        <v>106.85635133958206</v>
      </c>
      <c r="R122" s="43">
        <f t="shared" si="53"/>
        <v>100</v>
      </c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</row>
    <row r="123" spans="1:99" ht="12.75">
      <c r="A123" s="1">
        <v>1954</v>
      </c>
      <c r="B123" s="43">
        <f>LN('Annual Total Returns'!B128)</f>
        <v>4.7582587649572945</v>
      </c>
      <c r="C123" s="43">
        <f>LN('Annual Total Returns'!C128)</f>
        <v>4.7393704127119705</v>
      </c>
      <c r="D123" s="43">
        <f>LN('Annual Total Returns'!D128)</f>
        <v>4.7442548443565675</v>
      </c>
      <c r="E123" s="43">
        <f>LN('Annual Total Returns'!E128)</f>
        <v>4.7312525254518345</v>
      </c>
      <c r="F123" s="43">
        <f>LN('Annual Total Returns'!F128)</f>
        <v>4.71591588443187</v>
      </c>
      <c r="G123" s="43">
        <f>LN('Annual Total Returns'!G128)</f>
        <v>4.605170185988092</v>
      </c>
      <c r="H123" s="5"/>
      <c r="I123"/>
      <c r="J123" s="43">
        <f>LN('Annual Total Returns'!J128)</f>
        <v>5.298560602453785</v>
      </c>
      <c r="K123"/>
      <c r="L123" s="1">
        <v>1954</v>
      </c>
      <c r="M123" s="43">
        <f t="shared" si="53"/>
        <v>116.54282067999998</v>
      </c>
      <c r="N123" s="43">
        <f t="shared" si="53"/>
        <v>121.25461648989805</v>
      </c>
      <c r="O123" s="43">
        <f t="shared" si="53"/>
        <v>119.68846964873853</v>
      </c>
      <c r="P123" s="43">
        <f t="shared" si="53"/>
        <v>115.45053537211825</v>
      </c>
      <c r="Q123" s="43">
        <f t="shared" si="53"/>
        <v>119.085679284552</v>
      </c>
      <c r="R123" s="43">
        <f t="shared" si="53"/>
        <v>100</v>
      </c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</row>
    <row r="124" spans="1:99" ht="12.75">
      <c r="A124" s="1">
        <v>1955</v>
      </c>
      <c r="B124" s="43">
        <f>LN('Annual Total Returns'!B129)</f>
        <v>4.7652343786937195</v>
      </c>
      <c r="C124" s="43">
        <f>LN('Annual Total Returns'!C129)</f>
        <v>4.7104204703785095</v>
      </c>
      <c r="D124" s="43">
        <f>LN('Annual Total Returns'!D129)</f>
        <v>4.773077433175088</v>
      </c>
      <c r="E124" s="43">
        <f>LN('Annual Total Returns'!E129)</f>
        <v>4.704244035611752</v>
      </c>
      <c r="F124" s="43">
        <f>LN('Annual Total Returns'!F129)</f>
        <v>4.682106535468231</v>
      </c>
      <c r="G124" s="43">
        <f>LN('Annual Total Returns'!G129)</f>
        <v>4.605170185988092</v>
      </c>
      <c r="H124" s="5"/>
      <c r="I124"/>
      <c r="J124" s="43">
        <f>LN('Annual Total Returns'!J129)</f>
        <v>5.402019310822015</v>
      </c>
      <c r="K124"/>
      <c r="L124" s="1">
        <v>1955</v>
      </c>
      <c r="M124" s="43">
        <f t="shared" si="53"/>
        <v>117.35862042475993</v>
      </c>
      <c r="N124" s="43">
        <f t="shared" si="53"/>
        <v>117.68403514233277</v>
      </c>
      <c r="O124" s="43">
        <f t="shared" si="53"/>
        <v>116.45249178264628</v>
      </c>
      <c r="P124" s="43">
        <f t="shared" si="53"/>
        <v>112.90651158338402</v>
      </c>
      <c r="Q124" s="43">
        <f t="shared" si="53"/>
        <v>115.03761990400646</v>
      </c>
      <c r="R124" s="43">
        <f t="shared" si="53"/>
        <v>100</v>
      </c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</row>
    <row r="125" spans="1:99" ht="12.75">
      <c r="A125" s="1">
        <v>1956</v>
      </c>
      <c r="B125" s="43">
        <f>LN('Annual Total Returns'!B130)</f>
        <v>4.8244462383255655</v>
      </c>
      <c r="C125" s="43">
        <f>LN('Annual Total Returns'!C130)</f>
        <v>4.787918829375054</v>
      </c>
      <c r="D125" s="43">
        <f>LN('Annual Total Returns'!D130)</f>
        <v>4.854311732865461</v>
      </c>
      <c r="E125" s="43">
        <f>LN('Annual Total Returns'!E130)</f>
        <v>4.776796494706138</v>
      </c>
      <c r="F125" s="43">
        <f>LN('Annual Total Returns'!F130)</f>
        <v>4.753271281607954</v>
      </c>
      <c r="G125" s="43">
        <f>LN('Annual Total Returns'!G130)</f>
        <v>4.605170185988092</v>
      </c>
      <c r="H125" s="5"/>
      <c r="I125"/>
      <c r="J125" s="43">
        <f>LN('Annual Total Returns'!J130)</f>
        <v>5.307708631350773</v>
      </c>
      <c r="K125"/>
      <c r="L125" s="1">
        <v>1956</v>
      </c>
      <c r="M125" s="43">
        <f t="shared" si="53"/>
        <v>124.51749627067028</v>
      </c>
      <c r="N125" s="43">
        <f t="shared" si="53"/>
        <v>127.47885706729124</v>
      </c>
      <c r="O125" s="43">
        <f t="shared" si="53"/>
        <v>126.92425750311277</v>
      </c>
      <c r="P125" s="43">
        <f t="shared" si="53"/>
        <v>119.84025937316304</v>
      </c>
      <c r="Q125" s="43">
        <f t="shared" si="53"/>
        <v>123.75280636557395</v>
      </c>
      <c r="R125" s="43">
        <f t="shared" si="53"/>
        <v>100</v>
      </c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</row>
    <row r="126" spans="1:99" ht="12.75">
      <c r="A126" s="1">
        <v>1957</v>
      </c>
      <c r="B126" s="43">
        <f>LN('Annual Total Returns'!B131)</f>
        <v>4.8501139850741435</v>
      </c>
      <c r="C126" s="43">
        <f>LN('Annual Total Returns'!C131)</f>
        <v>4.801140004799124</v>
      </c>
      <c r="D126" s="43">
        <f>LN('Annual Total Returns'!D131)</f>
        <v>4.869226339129927</v>
      </c>
      <c r="E126" s="43">
        <f>LN('Annual Total Returns'!E131)</f>
        <v>4.789148329057489</v>
      </c>
      <c r="F126" s="43">
        <f>LN('Annual Total Returns'!F131)</f>
        <v>4.764831278087141</v>
      </c>
      <c r="G126" s="43">
        <f>LN('Annual Total Returns'!G131)</f>
        <v>4.605170185988092</v>
      </c>
      <c r="H126" s="5"/>
      <c r="I126"/>
      <c r="J126" s="43">
        <f>LN('Annual Total Returns'!J131)</f>
        <v>5.296647683991349</v>
      </c>
      <c r="K126"/>
      <c r="L126" s="1">
        <v>1957</v>
      </c>
      <c r="M126" s="43">
        <f t="shared" si="53"/>
        <v>127.75495117370774</v>
      </c>
      <c r="N126" s="43">
        <f t="shared" si="53"/>
        <v>129.0632838991894</v>
      </c>
      <c r="O126" s="43">
        <f t="shared" si="53"/>
        <v>128.0902429993471</v>
      </c>
      <c r="P126" s="43">
        <f t="shared" si="53"/>
        <v>120.94890495451591</v>
      </c>
      <c r="Q126" s="43">
        <f t="shared" si="53"/>
        <v>125.84894684413504</v>
      </c>
      <c r="R126" s="43">
        <f t="shared" si="53"/>
        <v>100</v>
      </c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</row>
    <row r="127" spans="1:99" ht="12.75">
      <c r="A127" s="1">
        <v>1958</v>
      </c>
      <c r="B127" s="43">
        <f>LN('Annual Total Returns'!B132)</f>
        <v>4.928000523731215</v>
      </c>
      <c r="C127" s="43">
        <f>LN('Annual Total Returns'!C132)</f>
        <v>4.89730714486947</v>
      </c>
      <c r="D127" s="43">
        <f>LN('Annual Total Returns'!D132)</f>
        <v>4.942028363846937</v>
      </c>
      <c r="E127" s="43">
        <f>LN('Annual Total Returns'!E132)</f>
        <v>4.87923087884733</v>
      </c>
      <c r="F127" s="43">
        <f>LN('Annual Total Returns'!F132)</f>
        <v>4.854666835890033</v>
      </c>
      <c r="G127" s="43">
        <f>LN('Annual Total Returns'!G132)</f>
        <v>4.605170185988092</v>
      </c>
      <c r="H127" s="5"/>
      <c r="I127"/>
      <c r="J127" s="43">
        <f>LN('Annual Total Returns'!J132)</f>
        <v>5.688013867720011</v>
      </c>
      <c r="K127"/>
      <c r="L127" s="1">
        <v>1958</v>
      </c>
      <c r="M127" s="43">
        <f t="shared" si="53"/>
        <v>138.10310221877805</v>
      </c>
      <c r="N127" s="43">
        <f t="shared" si="53"/>
        <v>142.4395596128406</v>
      </c>
      <c r="O127" s="43">
        <f t="shared" si="53"/>
        <v>141.38916623677127</v>
      </c>
      <c r="P127" s="43">
        <f t="shared" si="53"/>
        <v>130.17559644511374</v>
      </c>
      <c r="Q127" s="43">
        <f t="shared" si="53"/>
        <v>137.93454907255077</v>
      </c>
      <c r="R127" s="43">
        <f t="shared" si="53"/>
        <v>100</v>
      </c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</row>
    <row r="128" spans="1:99" ht="12.75">
      <c r="A128" s="1">
        <v>1959</v>
      </c>
      <c r="B128" s="43">
        <f>LN('Annual Total Returns'!B133)</f>
        <v>5.033261034388707</v>
      </c>
      <c r="C128" s="43">
        <f>LN('Annual Total Returns'!C133)</f>
        <v>5.01231124098135</v>
      </c>
      <c r="D128" s="43">
        <f>LN('Annual Total Returns'!D133)</f>
        <v>5.013638369136832</v>
      </c>
      <c r="E128" s="43">
        <f>LN('Annual Total Returns'!E133)</f>
        <v>4.98702150239659</v>
      </c>
      <c r="F128" s="43">
        <f>LN('Annual Total Returns'!F133)</f>
        <v>4.964353883409935</v>
      </c>
      <c r="G128" s="43">
        <f>LN('Annual Total Returns'!G133)</f>
        <v>4.605170185988092</v>
      </c>
      <c r="H128" s="5"/>
      <c r="I128"/>
      <c r="J128" s="43">
        <f>LN('Annual Total Returns'!J133)</f>
        <v>6.124977642887547</v>
      </c>
      <c r="K128"/>
      <c r="L128" s="1">
        <v>1959</v>
      </c>
      <c r="M128" s="43">
        <f t="shared" si="53"/>
        <v>153.43254656506238</v>
      </c>
      <c r="N128" s="43">
        <f t="shared" si="53"/>
        <v>159.97930118480446</v>
      </c>
      <c r="O128" s="43">
        <f t="shared" si="53"/>
        <v>157.69713271793842</v>
      </c>
      <c r="P128" s="43">
        <f t="shared" si="53"/>
        <v>141.947200891547</v>
      </c>
      <c r="Q128" s="43">
        <f t="shared" si="53"/>
        <v>154.0413663763389</v>
      </c>
      <c r="R128" s="43">
        <f t="shared" si="53"/>
        <v>100</v>
      </c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</row>
    <row r="129" spans="1:99" ht="12.75">
      <c r="A129" s="1">
        <v>1960</v>
      </c>
      <c r="B129" s="43">
        <f>LN('Annual Total Returns'!B134)</f>
        <v>5.1267513774760465</v>
      </c>
      <c r="C129" s="43">
        <f>LN('Annual Total Returns'!C134)</f>
        <v>5.1014992509835615</v>
      </c>
      <c r="D129" s="43">
        <f>LN('Annual Total Returns'!D134)</f>
        <v>5.099257906535462</v>
      </c>
      <c r="E129" s="43">
        <f>LN('Annual Total Returns'!E134)</f>
        <v>5.07054827501276</v>
      </c>
      <c r="F129" s="43">
        <f>LN('Annual Total Returns'!F134)</f>
        <v>5.055043042211812</v>
      </c>
      <c r="G129" s="43">
        <f>LN('Annual Total Returns'!G134)</f>
        <v>4.605170185988092</v>
      </c>
      <c r="H129" s="5"/>
      <c r="I129"/>
      <c r="J129" s="43">
        <f>LN('Annual Total Returns'!J134)</f>
        <v>6.142817561015878</v>
      </c>
      <c r="K129"/>
      <c r="L129" s="1">
        <v>1960</v>
      </c>
      <c r="M129" s="43">
        <f t="shared" si="53"/>
        <v>168.46893612843851</v>
      </c>
      <c r="N129" s="43">
        <f t="shared" si="53"/>
        <v>174.83848185862706</v>
      </c>
      <c r="O129" s="43">
        <f t="shared" si="53"/>
        <v>171.99319098184804</v>
      </c>
      <c r="P129" s="43">
        <f t="shared" si="53"/>
        <v>151.6640543569112</v>
      </c>
      <c r="Q129" s="43">
        <f t="shared" si="53"/>
        <v>168.61173481816235</v>
      </c>
      <c r="R129" s="43">
        <f t="shared" si="53"/>
        <v>100</v>
      </c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</row>
    <row r="130" spans="1:99" ht="12.75">
      <c r="A130" s="1">
        <v>1961</v>
      </c>
      <c r="B130" s="43">
        <f>LN('Annual Total Returns'!B135)</f>
        <v>5.187846476835857</v>
      </c>
      <c r="C130" s="43">
        <f>LN('Annual Total Returns'!C135)</f>
        <v>5.150583621028414</v>
      </c>
      <c r="D130" s="43">
        <f>LN('Annual Total Returns'!D135)</f>
        <v>5.178593324208102</v>
      </c>
      <c r="E130" s="43">
        <f>LN('Annual Total Returns'!E135)</f>
        <v>5.116458575140081</v>
      </c>
      <c r="F130" s="43">
        <f>LN('Annual Total Returns'!F135)</f>
        <v>5.108328663234379</v>
      </c>
      <c r="G130" s="43">
        <f>LN('Annual Total Returns'!G135)</f>
        <v>4.605170185988092</v>
      </c>
      <c r="H130" s="5"/>
      <c r="I130"/>
      <c r="J130" s="43">
        <f>LN('Annual Total Returns'!J135)</f>
        <v>6.1596746780823</v>
      </c>
      <c r="K130"/>
      <c r="L130" s="1">
        <v>1961</v>
      </c>
      <c r="M130" s="43">
        <f t="shared" si="53"/>
        <v>179.08247910453017</v>
      </c>
      <c r="N130" s="43">
        <f t="shared" si="53"/>
        <v>183.4786512622482</v>
      </c>
      <c r="O130" s="43">
        <f t="shared" si="53"/>
        <v>181.06928405133465</v>
      </c>
      <c r="P130" s="43">
        <f t="shared" si="53"/>
        <v>157.2169973467482</v>
      </c>
      <c r="Q130" s="43">
        <f t="shared" si="53"/>
        <v>177.7052208937914</v>
      </c>
      <c r="R130" s="43">
        <f t="shared" si="53"/>
        <v>100</v>
      </c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</row>
    <row r="131" spans="1:99" ht="12.75">
      <c r="A131" s="1">
        <v>1962</v>
      </c>
      <c r="B131" s="43">
        <f>LN('Annual Total Returns'!B136)</f>
        <v>5.25363421737386</v>
      </c>
      <c r="C131" s="43">
        <f>LN('Annual Total Returns'!C136)</f>
        <v>5.218067492999248</v>
      </c>
      <c r="D131" s="43">
        <f>LN('Annual Total Returns'!D136)</f>
        <v>5.257409551823333</v>
      </c>
      <c r="E131" s="43">
        <f>LN('Annual Total Returns'!E136)</f>
        <v>5.179615647080776</v>
      </c>
      <c r="F131" s="43">
        <f>LN('Annual Total Returns'!F136)</f>
        <v>5.175221884610386</v>
      </c>
      <c r="G131" s="43">
        <f>LN('Annual Total Returns'!G136)</f>
        <v>4.605170185988092</v>
      </c>
      <c r="H131" s="5"/>
      <c r="I131"/>
      <c r="J131" s="43">
        <f>LN('Annual Total Returns'!J136)</f>
        <v>6.163666699351838</v>
      </c>
      <c r="K131"/>
      <c r="L131" s="1">
        <v>1962</v>
      </c>
      <c r="M131" s="43">
        <f t="shared" si="53"/>
        <v>191.26008768363815</v>
      </c>
      <c r="N131" s="43">
        <f t="shared" si="53"/>
        <v>196.32055622493883</v>
      </c>
      <c r="O131" s="43">
        <f t="shared" si="53"/>
        <v>194.32151900680904</v>
      </c>
      <c r="P131" s="43">
        <f t="shared" si="53"/>
        <v>165.3491899123129</v>
      </c>
      <c r="Q131" s="43">
        <f t="shared" si="53"/>
        <v>190.02486404264732</v>
      </c>
      <c r="R131" s="43">
        <f t="shared" si="53"/>
        <v>100</v>
      </c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</row>
    <row r="132" spans="1:99" ht="12.75">
      <c r="A132" s="1">
        <v>1963</v>
      </c>
      <c r="B132" s="43">
        <f>LN('Annual Total Returns'!B137)</f>
        <v>5.351667957645225</v>
      </c>
      <c r="C132" s="43">
        <f>LN('Annual Total Returns'!C137)</f>
        <v>5.327541471302796</v>
      </c>
      <c r="D132" s="43">
        <f>LN('Annual Total Returns'!D137)</f>
        <v>5.34090412132208</v>
      </c>
      <c r="E132" s="43">
        <f>LN('Annual Total Returns'!E137)</f>
        <v>5.28220549741904</v>
      </c>
      <c r="F132" s="43">
        <f>LN('Annual Total Returns'!F137)</f>
        <v>5.2807246202883755</v>
      </c>
      <c r="G132" s="43">
        <f>LN('Annual Total Returns'!G137)</f>
        <v>4.605170185988092</v>
      </c>
      <c r="H132" s="5"/>
      <c r="I132"/>
      <c r="J132" s="43">
        <f>LN('Annual Total Returns'!J137)</f>
        <v>6.341812884735312</v>
      </c>
      <c r="K132"/>
      <c r="L132" s="1">
        <v>1963</v>
      </c>
      <c r="M132" s="43">
        <f t="shared" si="53"/>
        <v>210.95987671505284</v>
      </c>
      <c r="N132" s="43">
        <f t="shared" si="53"/>
        <v>219.33114802354388</v>
      </c>
      <c r="O132" s="43">
        <f t="shared" si="53"/>
        <v>216.56337745301698</v>
      </c>
      <c r="P132" s="43">
        <f t="shared" si="53"/>
        <v>179.59147814408834</v>
      </c>
      <c r="Q132" s="43">
        <f t="shared" si="53"/>
        <v>211.39254868558217</v>
      </c>
      <c r="R132" s="43">
        <f t="shared" si="53"/>
        <v>100</v>
      </c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</row>
    <row r="133" spans="1:99" ht="12.75">
      <c r="A133" s="1">
        <v>1964</v>
      </c>
      <c r="B133" s="43">
        <f>LN('Annual Total Returns'!B138)</f>
        <v>5.431402925664079</v>
      </c>
      <c r="C133" s="43">
        <f>LN('Annual Total Returns'!C138)</f>
        <v>5.4005576844804155</v>
      </c>
      <c r="D133" s="43">
        <f>LN('Annual Total Returns'!D138)</f>
        <v>5.413076772196865</v>
      </c>
      <c r="E133" s="43">
        <f>LN('Annual Total Returns'!E138)</f>
        <v>5.350552179888603</v>
      </c>
      <c r="F133" s="43">
        <f>LN('Annual Total Returns'!F138)</f>
        <v>5.356086953169494</v>
      </c>
      <c r="G133" s="43">
        <f>LN('Annual Total Returns'!G138)</f>
        <v>4.605170185988092</v>
      </c>
      <c r="H133" s="5"/>
      <c r="I133"/>
      <c r="J133" s="43">
        <f>LN('Annual Total Returns'!J138)</f>
        <v>6.281000745338555</v>
      </c>
      <c r="K133"/>
      <c r="L133" s="1">
        <v>1964</v>
      </c>
      <c r="M133" s="43">
        <f t="shared" si="53"/>
        <v>228.46954648240228</v>
      </c>
      <c r="N133" s="43">
        <f t="shared" si="53"/>
        <v>235.8164874381438</v>
      </c>
      <c r="O133" s="43">
        <f t="shared" si="53"/>
        <v>232.34552327754923</v>
      </c>
      <c r="P133" s="43">
        <f t="shared" si="53"/>
        <v>189.56103131274614</v>
      </c>
      <c r="Q133" s="43">
        <f t="shared" si="53"/>
        <v>227.8328586089212</v>
      </c>
      <c r="R133" s="43">
        <f t="shared" si="53"/>
        <v>100</v>
      </c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</row>
    <row r="134" spans="1:99" ht="12.75">
      <c r="A134" s="1">
        <v>1965</v>
      </c>
      <c r="B134" s="43">
        <f>LN('Annual Total Returns'!B139)</f>
        <v>5.477331857552479</v>
      </c>
      <c r="C134" s="43">
        <f>LN('Annual Total Returns'!C139)</f>
        <v>5.433940583514525</v>
      </c>
      <c r="D134" s="43">
        <f>LN('Annual Total Returns'!D139)</f>
        <v>5.480873710612135</v>
      </c>
      <c r="E134" s="43">
        <f>LN('Annual Total Returns'!E139)</f>
        <v>5.3817605435955675</v>
      </c>
      <c r="F134" s="43">
        <f>LN('Annual Total Returns'!F139)</f>
        <v>5.393859112032753</v>
      </c>
      <c r="G134" s="43">
        <f>LN('Annual Total Returns'!G139)</f>
        <v>4.605170185988092</v>
      </c>
      <c r="H134" s="5"/>
      <c r="I134"/>
      <c r="J134" s="43">
        <f>LN('Annual Total Returns'!J139)</f>
        <v>6.397894496810054</v>
      </c>
      <c r="K134"/>
      <c r="L134" s="1">
        <v>1965</v>
      </c>
      <c r="M134" s="43">
        <f t="shared" si="53"/>
        <v>239.20761516707526</v>
      </c>
      <c r="N134" s="43">
        <f t="shared" si="53"/>
        <v>243.608749832823</v>
      </c>
      <c r="O134" s="43">
        <f t="shared" si="53"/>
        <v>240.96966653730712</v>
      </c>
      <c r="P134" s="43">
        <f t="shared" si="53"/>
        <v>194.21124737786846</v>
      </c>
      <c r="Q134" s="43">
        <f t="shared" si="53"/>
        <v>236.41777474449978</v>
      </c>
      <c r="R134" s="43">
        <f t="shared" si="53"/>
        <v>100</v>
      </c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</row>
    <row r="135" spans="1:99" ht="12.75">
      <c r="A135" s="1">
        <v>1966</v>
      </c>
      <c r="B135" s="43">
        <f>LN('Annual Total Returns'!B140)</f>
        <v>5.507861062587302</v>
      </c>
      <c r="C135" s="43">
        <f>LN('Annual Total Returns'!C140)</f>
        <v>5.458826721234369</v>
      </c>
      <c r="D135" s="43">
        <f>LN('Annual Total Returns'!D140)</f>
        <v>5.53313043323747</v>
      </c>
      <c r="E135" s="43">
        <f>LN('Annual Total Returns'!E140)</f>
        <v>5.405019195337485</v>
      </c>
      <c r="F135" s="43">
        <f>LN('Annual Total Returns'!F140)</f>
        <v>5.417995002245692</v>
      </c>
      <c r="G135" s="43">
        <f>LN('Annual Total Returns'!G140)</f>
        <v>4.605170185988092</v>
      </c>
      <c r="H135" s="5"/>
      <c r="I135"/>
      <c r="J135" s="43">
        <f>LN('Annual Total Returns'!J140)</f>
        <v>6.34132414532166</v>
      </c>
      <c r="K135"/>
      <c r="L135" s="1">
        <v>1966</v>
      </c>
      <c r="M135" s="43">
        <f t="shared" si="53"/>
        <v>246.62305123725451</v>
      </c>
      <c r="N135" s="43">
        <f t="shared" si="53"/>
        <v>249.62997005812352</v>
      </c>
      <c r="O135" s="43">
        <f t="shared" si="53"/>
        <v>248.0062697371421</v>
      </c>
      <c r="P135" s="43">
        <f t="shared" si="53"/>
        <v>197.77864623118418</v>
      </c>
      <c r="Q135" s="43">
        <f t="shared" si="53"/>
        <v>242.75601447817505</v>
      </c>
      <c r="R135" s="43">
        <f t="shared" si="53"/>
        <v>100</v>
      </c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</row>
    <row r="136" spans="1:99" ht="12.75">
      <c r="A136" s="1">
        <v>1967</v>
      </c>
      <c r="B136" s="43">
        <f>LN('Annual Total Returns'!B141)</f>
        <v>5.583895748863299</v>
      </c>
      <c r="C136" s="43">
        <f>LN('Annual Total Returns'!C141)</f>
        <v>5.550863232647669</v>
      </c>
      <c r="D136" s="43">
        <f>LN('Annual Total Returns'!D141)</f>
        <v>5.598529534883554</v>
      </c>
      <c r="E136" s="43">
        <f>LN('Annual Total Returns'!E141)</f>
        <v>5.491221344452399</v>
      </c>
      <c r="F136" s="43">
        <f>LN('Annual Total Returns'!F141)</f>
        <v>5.504485072772114</v>
      </c>
      <c r="G136" s="43">
        <f>LN('Annual Total Returns'!G141)</f>
        <v>4.605170185988092</v>
      </c>
      <c r="H136" s="5"/>
      <c r="I136"/>
      <c r="J136" s="43">
        <f>LN('Annual Total Returns'!J141)</f>
        <v>6.6641320197488145</v>
      </c>
      <c r="K136"/>
      <c r="L136" s="1">
        <v>1967</v>
      </c>
      <c r="M136" s="43">
        <f aca="true" t="shared" si="54" ref="M136:R151">+M135*(1+M73/100)</f>
        <v>266.10627228499766</v>
      </c>
      <c r="N136" s="43">
        <f t="shared" si="54"/>
        <v>274.2603656193012</v>
      </c>
      <c r="O136" s="43">
        <f t="shared" si="54"/>
        <v>272.1352879083953</v>
      </c>
      <c r="P136" s="43">
        <f t="shared" si="54"/>
        <v>212.1508127493412</v>
      </c>
      <c r="Q136" s="43">
        <f t="shared" si="54"/>
        <v>265.1051359697337</v>
      </c>
      <c r="R136" s="43">
        <f t="shared" si="54"/>
        <v>100</v>
      </c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</row>
    <row r="137" spans="1:99" ht="12.75">
      <c r="A137" s="1">
        <v>1968</v>
      </c>
      <c r="B137" s="43">
        <f>LN('Annual Total Returns'!B142)</f>
        <v>5.776992378825213</v>
      </c>
      <c r="C137" s="43">
        <f>LN('Annual Total Returns'!C142)</f>
        <v>5.7832349110830865</v>
      </c>
      <c r="D137" s="43">
        <f>LN('Annual Total Returns'!D142)</f>
        <v>5.7285857403914155</v>
      </c>
      <c r="E137" s="43">
        <f>LN('Annual Total Returns'!E142)</f>
        <v>5.709779762621297</v>
      </c>
      <c r="F137" s="43">
        <f>LN('Annual Total Returns'!F142)</f>
        <v>5.732077563795707</v>
      </c>
      <c r="G137" s="43">
        <f>LN('Annual Total Returns'!G142)</f>
        <v>4.768960188568121</v>
      </c>
      <c r="H137" s="5"/>
      <c r="I137"/>
      <c r="J137" s="43">
        <f>LN('Annual Total Returns'!J142)</f>
        <v>7.012673980457358</v>
      </c>
      <c r="K137"/>
      <c r="L137" s="1">
        <v>1968</v>
      </c>
      <c r="M137" s="43">
        <f t="shared" si="54"/>
        <v>322.7869082817023</v>
      </c>
      <c r="N137" s="43">
        <f t="shared" si="54"/>
        <v>348.5015005238213</v>
      </c>
      <c r="O137" s="43">
        <f t="shared" si="54"/>
        <v>341.7363198850946</v>
      </c>
      <c r="P137" s="43">
        <f t="shared" si="54"/>
        <v>253.63333010567746</v>
      </c>
      <c r="Q137" s="43">
        <f t="shared" si="54"/>
        <v>304.24438049744384</v>
      </c>
      <c r="R137" s="43">
        <f t="shared" si="54"/>
        <v>124.93403360372835</v>
      </c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</row>
    <row r="138" spans="1:99" ht="12.75">
      <c r="A138" s="1">
        <v>1969</v>
      </c>
      <c r="B138" s="43">
        <f>LN('Annual Total Returns'!B143)</f>
        <v>5.828635611977051</v>
      </c>
      <c r="C138" s="43">
        <f>LN('Annual Total Returns'!C143)</f>
        <v>5.778206112374487</v>
      </c>
      <c r="D138" s="43">
        <f>LN('Annual Total Returns'!D143)</f>
        <v>5.781443059473451</v>
      </c>
      <c r="E138" s="43">
        <f>LN('Annual Total Returns'!E143)</f>
        <v>5.705084454383881</v>
      </c>
      <c r="F138" s="43">
        <f>LN('Annual Total Returns'!F143)</f>
        <v>5.747161424365459</v>
      </c>
      <c r="G138" s="43">
        <f>LN('Annual Total Returns'!G143)</f>
        <v>4.843076424923121</v>
      </c>
      <c r="H138" s="5"/>
      <c r="I138"/>
      <c r="J138" s="43">
        <f>LN('Annual Total Returns'!J143)</f>
        <v>6.888243902079181</v>
      </c>
      <c r="K138"/>
      <c r="L138" s="1">
        <v>1969</v>
      </c>
      <c r="M138" s="43">
        <f t="shared" si="54"/>
        <v>339.8946144206323</v>
      </c>
      <c r="N138" s="43">
        <f t="shared" si="54"/>
        <v>346.9343308150955</v>
      </c>
      <c r="O138" s="43">
        <f t="shared" si="54"/>
        <v>339.14752348180997</v>
      </c>
      <c r="P138" s="43">
        <f t="shared" si="54"/>
        <v>252.78257122715394</v>
      </c>
      <c r="Q138" s="43">
        <f t="shared" si="54"/>
        <v>308.6055913341734</v>
      </c>
      <c r="R138" s="43">
        <f t="shared" si="54"/>
        <v>125.99258602388076</v>
      </c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</row>
    <row r="139" spans="1:99" ht="12.75">
      <c r="A139" s="1">
        <v>1970</v>
      </c>
      <c r="B139" s="43">
        <f>LN('Annual Total Returns'!B144)</f>
        <v>6.048574032342312</v>
      </c>
      <c r="C139" s="43">
        <f>LN('Annual Total Returns'!C144)</f>
        <v>6.0527892762325655</v>
      </c>
      <c r="D139" s="43">
        <f>LN('Annual Total Returns'!D144)</f>
        <v>5.999542328490712</v>
      </c>
      <c r="E139" s="43">
        <f>LN('Annual Total Returns'!E144)</f>
        <v>5.963654194882631</v>
      </c>
      <c r="F139" s="43">
        <f>LN('Annual Total Returns'!F144)</f>
        <v>6.015139624403983</v>
      </c>
      <c r="G139" s="43">
        <f>LN('Annual Total Returns'!G144)</f>
        <v>5.050359413156995</v>
      </c>
      <c r="H139" s="5"/>
      <c r="I139"/>
      <c r="J139" s="43">
        <f>LN('Annual Total Returns'!J144)</f>
        <v>6.869061082662407</v>
      </c>
      <c r="K139"/>
      <c r="L139" s="1">
        <v>1970</v>
      </c>
      <c r="M139" s="43">
        <f t="shared" si="54"/>
        <v>423.508689568108</v>
      </c>
      <c r="N139" s="43">
        <f t="shared" si="54"/>
        <v>462.14518760289553</v>
      </c>
      <c r="O139" s="43">
        <f t="shared" si="54"/>
        <v>453.5401645486566</v>
      </c>
      <c r="P139" s="43">
        <f t="shared" si="54"/>
        <v>313.0281835559838</v>
      </c>
      <c r="Q139" s="43">
        <f t="shared" si="54"/>
        <v>363.61888571065043</v>
      </c>
      <c r="R139" s="43">
        <f t="shared" si="54"/>
        <v>160.5741184592892</v>
      </c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</row>
    <row r="140" spans="1:99" ht="12.75">
      <c r="A140" s="1">
        <v>1971</v>
      </c>
      <c r="B140" s="43">
        <f>LN('Annual Total Returns'!B145)</f>
        <v>6.19797321308404</v>
      </c>
      <c r="C140" s="43">
        <f>LN('Annual Total Returns'!C145)</f>
        <v>6.175329658258454</v>
      </c>
      <c r="D140" s="43">
        <f>LN('Annual Total Returns'!D145)</f>
        <v>6.100505893352272</v>
      </c>
      <c r="E140" s="43">
        <f>LN('Annual Total Returns'!E145)</f>
        <v>6.078535032261409</v>
      </c>
      <c r="F140" s="43">
        <f>LN('Annual Total Returns'!F145)</f>
        <v>6.152458518887709</v>
      </c>
      <c r="G140" s="43">
        <f>LN('Annual Total Returns'!G145)</f>
        <v>5.202738776730602</v>
      </c>
      <c r="H140" s="5"/>
      <c r="I140"/>
      <c r="J140" s="43">
        <f>LN('Annual Total Returns'!J145)</f>
        <v>7.2509163251314375</v>
      </c>
      <c r="K140"/>
      <c r="L140" s="1">
        <v>1971</v>
      </c>
      <c r="M140" s="43">
        <f t="shared" si="54"/>
        <v>491.75135517383046</v>
      </c>
      <c r="N140" s="43">
        <f t="shared" si="54"/>
        <v>521.7964482039707</v>
      </c>
      <c r="O140" s="43">
        <f t="shared" si="54"/>
        <v>505.64277145557577</v>
      </c>
      <c r="P140" s="43">
        <f t="shared" si="54"/>
        <v>342.67900504276963</v>
      </c>
      <c r="Q140" s="43">
        <f t="shared" si="54"/>
        <v>416.6113327822678</v>
      </c>
      <c r="R140" s="43">
        <f t="shared" si="54"/>
        <v>185.71585261858579</v>
      </c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</row>
    <row r="141" spans="1:99" ht="12.75">
      <c r="A141" s="1">
        <v>1972</v>
      </c>
      <c r="B141" s="43">
        <f>LN('Annual Total Returns'!B146)</f>
        <v>6.4557232328950125</v>
      </c>
      <c r="C141" s="43">
        <f>LN('Annual Total Returns'!C146)</f>
        <v>6.469637731352471</v>
      </c>
      <c r="D141" s="43">
        <f>LN('Annual Total Returns'!D146)</f>
        <v>6.348075577054232</v>
      </c>
      <c r="E141" s="43">
        <f>LN('Annual Total Returns'!E146)</f>
        <v>6.35583138597442</v>
      </c>
      <c r="F141" s="43">
        <f>LN('Annual Total Returns'!F146)</f>
        <v>6.462005126256345</v>
      </c>
      <c r="G141" s="43">
        <f>LN('Annual Total Returns'!G146)</f>
        <v>5.486681782835356</v>
      </c>
      <c r="H141" s="5"/>
      <c r="I141"/>
      <c r="J141" s="43">
        <f>LN('Annual Total Returns'!J146)</f>
        <v>7.402778674440683</v>
      </c>
      <c r="K141"/>
      <c r="L141" s="1">
        <v>1972</v>
      </c>
      <c r="M141" s="43">
        <f t="shared" si="54"/>
        <v>636.3337773906708</v>
      </c>
      <c r="N141" s="43">
        <f t="shared" si="54"/>
        <v>704.8871391028043</v>
      </c>
      <c r="O141" s="43">
        <f t="shared" si="54"/>
        <v>683.3656680571679</v>
      </c>
      <c r="P141" s="43">
        <f t="shared" si="54"/>
        <v>428.806954365042</v>
      </c>
      <c r="Q141" s="43">
        <f t="shared" si="54"/>
        <v>495.7666940227764</v>
      </c>
      <c r="R141" s="43">
        <f t="shared" si="54"/>
        <v>247.49193577568988</v>
      </c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</row>
    <row r="142" spans="1:99" ht="12.75">
      <c r="A142" s="1">
        <v>1973</v>
      </c>
      <c r="B142" s="43">
        <f>LN('Annual Total Returns'!B147)</f>
        <v>6.706106160797453</v>
      </c>
      <c r="C142" s="43">
        <f>LN('Annual Total Returns'!C147)</f>
        <v>6.717335878727241</v>
      </c>
      <c r="D142" s="43">
        <f>LN('Annual Total Returns'!D147)</f>
        <v>6.553175894696898</v>
      </c>
      <c r="E142" s="43">
        <f>LN('Annual Total Returns'!E147)</f>
        <v>6.588907224942775</v>
      </c>
      <c r="F142" s="43">
        <f>LN('Annual Total Returns'!F147)</f>
        <v>6.708552660358512</v>
      </c>
      <c r="G142" s="43">
        <f>LN('Annual Total Returns'!G147)</f>
        <v>5.734380301174649</v>
      </c>
      <c r="H142" s="5"/>
      <c r="I142"/>
      <c r="J142" s="43">
        <f>LN('Annual Total Returns'!J147)</f>
        <v>7.0728847531795935</v>
      </c>
      <c r="K142"/>
      <c r="L142" s="1">
        <v>1973</v>
      </c>
      <c r="M142" s="43">
        <f t="shared" si="54"/>
        <v>817.381681999288</v>
      </c>
      <c r="N142" s="43">
        <f t="shared" si="54"/>
        <v>902.7956686327392</v>
      </c>
      <c r="O142" s="43">
        <f t="shared" si="54"/>
        <v>866.094966341195</v>
      </c>
      <c r="P142" s="43">
        <f t="shared" si="54"/>
        <v>515.6786838267348</v>
      </c>
      <c r="Q142" s="43">
        <f t="shared" si="54"/>
        <v>573.5848439784974</v>
      </c>
      <c r="R142" s="43">
        <f t="shared" si="54"/>
        <v>317.06649562669867</v>
      </c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</row>
    <row r="143" spans="1:99" ht="12.75">
      <c r="A143" s="1">
        <v>1974</v>
      </c>
      <c r="B143" s="43">
        <f>LN('Annual Total Returns'!B148)</f>
        <v>6.532381742476973</v>
      </c>
      <c r="C143" s="43">
        <f>LN('Annual Total Returns'!C148)</f>
        <v>6.330993329170194</v>
      </c>
      <c r="D143" s="43">
        <f>LN('Annual Total Returns'!D148)</f>
        <v>6.57092343542179</v>
      </c>
      <c r="E143" s="43">
        <f>LN('Annual Total Returns'!E148)</f>
        <v>6.2332883999992434</v>
      </c>
      <c r="F143" s="43">
        <f>LN('Annual Total Returns'!F148)</f>
        <v>6.120379013846924</v>
      </c>
      <c r="G143" s="43">
        <f>LN('Annual Total Returns'!G148)</f>
        <v>4.931893401060354</v>
      </c>
      <c r="H143" s="5"/>
      <c r="I143"/>
      <c r="J143" s="43">
        <f>LN('Annual Total Returns'!J148)</f>
        <v>6.377735569948975</v>
      </c>
      <c r="K143"/>
      <c r="L143" s="1">
        <v>1974</v>
      </c>
      <c r="M143" s="43">
        <f t="shared" si="54"/>
        <v>687.0325990983381</v>
      </c>
      <c r="N143" s="43">
        <f t="shared" si="54"/>
        <v>641.2513039803404</v>
      </c>
      <c r="O143" s="43">
        <f t="shared" si="54"/>
        <v>631.9714309327427</v>
      </c>
      <c r="P143" s="43">
        <f t="shared" si="54"/>
        <v>399.6030422615171</v>
      </c>
      <c r="Q143" s="43">
        <f t="shared" si="54"/>
        <v>359.41929187531605</v>
      </c>
      <c r="R143" s="43">
        <f t="shared" si="54"/>
        <v>186.17943220421395</v>
      </c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</row>
    <row r="144" spans="1:99" ht="12.75">
      <c r="A144" s="1">
        <v>1975</v>
      </c>
      <c r="B144" s="43">
        <f>LN('Annual Total Returns'!B149)</f>
        <v>6.640263118095746</v>
      </c>
      <c r="C144" s="43">
        <f>LN('Annual Total Returns'!C149)</f>
        <v>6.524127932260055</v>
      </c>
      <c r="D144" s="43">
        <f>LN('Annual Total Returns'!D149)</f>
        <v>6.761334543144261</v>
      </c>
      <c r="E144" s="43">
        <f>LN('Annual Total Returns'!E149)</f>
        <v>6.414735254583808</v>
      </c>
      <c r="F144" s="43">
        <f>LN('Annual Total Returns'!F149)</f>
        <v>6.267790859374604</v>
      </c>
      <c r="G144" s="43">
        <f>LN('Annual Total Returns'!G149)</f>
        <v>5.053682052712799</v>
      </c>
      <c r="H144" s="5"/>
      <c r="I144"/>
      <c r="J144" s="43">
        <f>LN('Annual Total Returns'!J149)</f>
        <v>7.2912223744903955</v>
      </c>
      <c r="K144"/>
      <c r="L144" s="1">
        <v>1975</v>
      </c>
      <c r="M144" s="43">
        <f t="shared" si="54"/>
        <v>765.2963298441852</v>
      </c>
      <c r="N144" s="43">
        <f t="shared" si="54"/>
        <v>798.7810525980557</v>
      </c>
      <c r="O144" s="43">
        <f t="shared" si="54"/>
        <v>807.5316505133593</v>
      </c>
      <c r="P144" s="43">
        <f t="shared" si="54"/>
        <v>470.7039400940351</v>
      </c>
      <c r="Q144" s="43">
        <f t="shared" si="54"/>
        <v>422.2821556439847</v>
      </c>
      <c r="R144" s="43">
        <f t="shared" si="54"/>
        <v>207.74895653874017</v>
      </c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</row>
    <row r="145" spans="1:99" ht="12.75">
      <c r="A145" s="1">
        <v>1976</v>
      </c>
      <c r="B145" s="43">
        <f>LN('Annual Total Returns'!B150)</f>
        <v>6.730368229549966</v>
      </c>
      <c r="C145" s="43">
        <f>LN('Annual Total Returns'!C150)</f>
        <v>6.6077084809377755</v>
      </c>
      <c r="D145" s="43">
        <f>LN('Annual Total Returns'!D150)</f>
        <v>6.738392583676252</v>
      </c>
      <c r="E145" s="43">
        <f>LN('Annual Total Returns'!E150)</f>
        <v>6.492996729730658</v>
      </c>
      <c r="F145" s="43">
        <f>LN('Annual Total Returns'!F150)</f>
        <v>6.3536495738805945</v>
      </c>
      <c r="G145" s="43">
        <f>LN('Annual Total Returns'!G150)</f>
        <v>5.143283563024042</v>
      </c>
      <c r="H145" s="5"/>
      <c r="I145"/>
      <c r="J145" s="43">
        <f>LN('Annual Total Returns'!J150)</f>
        <v>7.313961861459886</v>
      </c>
      <c r="K145"/>
      <c r="L145" s="1">
        <v>1976</v>
      </c>
      <c r="M145" s="43">
        <f t="shared" si="54"/>
        <v>837.4555850777626</v>
      </c>
      <c r="N145" s="43">
        <f t="shared" si="54"/>
        <v>867.9513488844831</v>
      </c>
      <c r="O145" s="43">
        <f t="shared" si="54"/>
        <v>853.7787591793807</v>
      </c>
      <c r="P145" s="43">
        <f t="shared" si="54"/>
        <v>500.7670768093985</v>
      </c>
      <c r="Q145" s="43">
        <f t="shared" si="54"/>
        <v>459.9314683231886</v>
      </c>
      <c r="R145" s="43">
        <f t="shared" si="54"/>
        <v>227.41343808152192</v>
      </c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</row>
    <row r="146" spans="1:99" ht="12.75">
      <c r="A146" s="1">
        <v>1977</v>
      </c>
      <c r="B146" s="43">
        <f>LN('Annual Total Returns'!B151)</f>
        <v>6.965446833921878</v>
      </c>
      <c r="C146" s="43">
        <f>LN('Annual Total Returns'!C151)</f>
        <v>6.890562210955319</v>
      </c>
      <c r="D146" s="43">
        <f>LN('Annual Total Returns'!D151)</f>
        <v>6.926874798739266</v>
      </c>
      <c r="E146" s="43">
        <f>LN('Annual Total Returns'!E151)</f>
        <v>6.759416178309328</v>
      </c>
      <c r="F146" s="43">
        <f>LN('Annual Total Returns'!F151)</f>
        <v>6.656262029228953</v>
      </c>
      <c r="G146" s="43">
        <f>LN('Annual Total Returns'!G151)</f>
        <v>5.379326596459645</v>
      </c>
      <c r="H146" s="5"/>
      <c r="I146"/>
      <c r="J146" s="43">
        <f>LN('Annual Total Returns'!J151)</f>
        <v>7.7100498077554525</v>
      </c>
      <c r="K146"/>
      <c r="L146" s="1">
        <v>1977</v>
      </c>
      <c r="M146" s="43">
        <f t="shared" si="54"/>
        <v>1059.3881822591666</v>
      </c>
      <c r="N146" s="43">
        <f t="shared" si="54"/>
        <v>1163.004280965289</v>
      </c>
      <c r="O146" s="43">
        <f t="shared" si="54"/>
        <v>1135.860047542533</v>
      </c>
      <c r="P146" s="43">
        <f t="shared" si="54"/>
        <v>622.840194585094</v>
      </c>
      <c r="Q146" s="43">
        <f t="shared" si="54"/>
        <v>544.1514982837102</v>
      </c>
      <c r="R146" s="43">
        <f t="shared" si="54"/>
        <v>286.16673796412044</v>
      </c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</row>
    <row r="147" spans="1:99" ht="12.75">
      <c r="A147" s="1">
        <v>1978</v>
      </c>
      <c r="B147" s="43">
        <f>LN('Annual Total Returns'!B152)</f>
        <v>7.193979756450519</v>
      </c>
      <c r="C147" s="43">
        <f>LN('Annual Total Returns'!C152)</f>
        <v>7.116711037398051</v>
      </c>
      <c r="D147" s="43">
        <f>LN('Annual Total Returns'!D152)</f>
        <v>7.094211239118256</v>
      </c>
      <c r="E147" s="43">
        <f>LN('Annual Total Returns'!E152)</f>
        <v>6.972083600594893</v>
      </c>
      <c r="F147" s="43">
        <f>LN('Annual Total Returns'!F152)</f>
        <v>6.881389325968001</v>
      </c>
      <c r="G147" s="43">
        <f>LN('Annual Total Returns'!G152)</f>
        <v>5.607975566341167</v>
      </c>
      <c r="H147" s="5"/>
      <c r="I147"/>
      <c r="J147" s="43">
        <f>LN('Annual Total Returns'!J152)</f>
        <v>7.792551029267196</v>
      </c>
      <c r="K147"/>
      <c r="L147" s="1">
        <v>1978</v>
      </c>
      <c r="M147" s="43">
        <f t="shared" si="54"/>
        <v>1331.3912890563013</v>
      </c>
      <c r="N147" s="43">
        <f t="shared" si="54"/>
        <v>1457.8185191427579</v>
      </c>
      <c r="O147" s="43">
        <f t="shared" si="54"/>
        <v>1403.6545225471598</v>
      </c>
      <c r="P147" s="43">
        <f t="shared" si="54"/>
        <v>737.0982552192196</v>
      </c>
      <c r="Q147" s="43">
        <f t="shared" si="54"/>
        <v>621.6277194450386</v>
      </c>
      <c r="R147" s="43">
        <f t="shared" si="54"/>
        <v>359.7646184049811</v>
      </c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</row>
    <row r="148" spans="1:99" ht="12.75">
      <c r="A148" s="1">
        <v>1979</v>
      </c>
      <c r="B148" s="43">
        <f>LN('Annual Total Returns'!B153)</f>
        <v>7.402621462466902</v>
      </c>
      <c r="C148" s="43">
        <f>LN('Annual Total Returns'!C153)</f>
        <v>7.3180412913891235</v>
      </c>
      <c r="D148" s="43">
        <f>LN('Annual Total Returns'!D153)</f>
        <v>7.313678192298391</v>
      </c>
      <c r="E148" s="43">
        <f>LN('Annual Total Returns'!E153)</f>
        <v>7.161275600052409</v>
      </c>
      <c r="F148" s="43">
        <f>LN('Annual Total Returns'!F153)</f>
        <v>7.083627600322039</v>
      </c>
      <c r="G148" s="43">
        <f>LN('Annual Total Returns'!G153)</f>
        <v>5.815258335568525</v>
      </c>
      <c r="H148" s="5"/>
      <c r="I148"/>
      <c r="J148" s="43">
        <f>LN('Annual Total Returns'!J153)</f>
        <v>7.901405434179279</v>
      </c>
      <c r="K148"/>
      <c r="L148" s="1">
        <v>1979</v>
      </c>
      <c r="M148" s="43">
        <f t="shared" si="54"/>
        <v>1640.2787279868744</v>
      </c>
      <c r="N148" s="43">
        <f t="shared" si="54"/>
        <v>1781.9120882924994</v>
      </c>
      <c r="O148" s="43">
        <f t="shared" si="54"/>
        <v>1718.951254121278</v>
      </c>
      <c r="P148" s="43">
        <f t="shared" si="54"/>
        <v>856.0891719810542</v>
      </c>
      <c r="Q148" s="43">
        <f t="shared" si="54"/>
        <v>699.9472940135818</v>
      </c>
      <c r="R148" s="43">
        <f t="shared" si="54"/>
        <v>443.03513023476864</v>
      </c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</row>
    <row r="149" spans="1:99" ht="12.75">
      <c r="A149" s="1">
        <v>1980</v>
      </c>
      <c r="B149" s="43">
        <f>LN('Annual Total Returns'!B154)</f>
        <v>7.563980839944006</v>
      </c>
      <c r="C149" s="43">
        <f>LN('Annual Total Returns'!C154)</f>
        <v>7.4616883198368456</v>
      </c>
      <c r="D149" s="43">
        <f>LN('Annual Total Returns'!D154)</f>
        <v>7.5031123329820675</v>
      </c>
      <c r="E149" s="43">
        <f>LN('Annual Total Returns'!E154)</f>
        <v>7.296030493662967</v>
      </c>
      <c r="F149" s="43">
        <f>LN('Annual Total Returns'!F154)</f>
        <v>7.237000448477039</v>
      </c>
      <c r="G149" s="43">
        <f>LN('Annual Total Returns'!G154)</f>
        <v>5.970193575726794</v>
      </c>
      <c r="H149" s="5"/>
      <c r="I149"/>
      <c r="J149" s="43">
        <f>LN('Annual Total Returns'!J154)</f>
        <v>8.200027446669393</v>
      </c>
      <c r="K149"/>
      <c r="L149" s="1">
        <v>1980</v>
      </c>
      <c r="M149" s="43">
        <f t="shared" si="54"/>
        <v>1927.5033432642188</v>
      </c>
      <c r="N149" s="43">
        <f t="shared" si="54"/>
        <v>2055.003480651639</v>
      </c>
      <c r="O149" s="43">
        <f t="shared" si="54"/>
        <v>1992.1882236237575</v>
      </c>
      <c r="P149" s="43">
        <f t="shared" si="54"/>
        <v>952.1036369702477</v>
      </c>
      <c r="Q149" s="43">
        <f t="shared" si="54"/>
        <v>815.1847381092515</v>
      </c>
      <c r="R149" s="43">
        <f t="shared" si="54"/>
        <v>518.6275110148582</v>
      </c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</row>
    <row r="150" spans="1:99" ht="12.75">
      <c r="A150" s="1">
        <v>1981</v>
      </c>
      <c r="B150" s="43">
        <f>LN('Annual Total Returns'!B155)</f>
        <v>7.703891814691549</v>
      </c>
      <c r="C150" s="43">
        <f>LN('Annual Total Returns'!C155)</f>
        <v>7.593707014036478</v>
      </c>
      <c r="D150" s="43">
        <f>LN('Annual Total Returns'!D155)</f>
        <v>7.673551637718338</v>
      </c>
      <c r="E150" s="43">
        <f>LN('Annual Total Returns'!E155)</f>
        <v>7.4198330955998735</v>
      </c>
      <c r="F150" s="43">
        <f>LN('Annual Total Returns'!F155)</f>
        <v>7.3733431853509</v>
      </c>
      <c r="G150" s="43">
        <f>LN('Annual Total Returns'!G155)</f>
        <v>6.106869082580678</v>
      </c>
      <c r="H150" s="5"/>
      <c r="I150"/>
      <c r="J150" s="43">
        <f>LN('Annual Total Returns'!J155)</f>
        <v>8.327540766968353</v>
      </c>
      <c r="K150"/>
      <c r="L150" s="1">
        <v>1981</v>
      </c>
      <c r="M150" s="43">
        <f t="shared" si="54"/>
        <v>2216.959218826886</v>
      </c>
      <c r="N150" s="43">
        <f t="shared" si="54"/>
        <v>2343.567926487488</v>
      </c>
      <c r="O150" s="43">
        <f t="shared" si="54"/>
        <v>2285.837564806884</v>
      </c>
      <c r="P150" s="43">
        <f t="shared" si="54"/>
        <v>1050.0873027734542</v>
      </c>
      <c r="Q150" s="43">
        <f t="shared" si="54"/>
        <v>933.8034299779757</v>
      </c>
      <c r="R150" s="43">
        <f t="shared" si="54"/>
        <v>595.2383244517002</v>
      </c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</row>
    <row r="151" spans="1:99" ht="12.75">
      <c r="A151" s="1">
        <v>1982</v>
      </c>
      <c r="B151" s="43">
        <f>LN('Annual Total Returns'!B156)</f>
        <v>7.7764942970210935</v>
      </c>
      <c r="C151" s="43">
        <f>LN('Annual Total Returns'!C156)</f>
        <v>7.640739096593467</v>
      </c>
      <c r="D151" s="43">
        <f>LN('Annual Total Returns'!D156)</f>
        <v>7.783168210888957</v>
      </c>
      <c r="E151" s="43">
        <f>LN('Annual Total Returns'!E156)</f>
        <v>7.463820920672957</v>
      </c>
      <c r="F151" s="43">
        <f>LN('Annual Total Returns'!F156)</f>
        <v>7.429359082281041</v>
      </c>
      <c r="G151" s="43">
        <f>LN('Annual Total Returns'!G156)</f>
        <v>6.169728296074274</v>
      </c>
      <c r="H151" s="5"/>
      <c r="I151"/>
      <c r="J151" s="43">
        <f>LN('Annual Total Returns'!J156)</f>
        <v>8.578299485315537</v>
      </c>
      <c r="K151"/>
      <c r="L151" s="1">
        <v>1982</v>
      </c>
      <c r="M151" s="43">
        <f t="shared" si="54"/>
        <v>2383.9028988822074</v>
      </c>
      <c r="N151" s="43">
        <f t="shared" si="54"/>
        <v>2453.605909968041</v>
      </c>
      <c r="O151" s="43">
        <f t="shared" si="54"/>
        <v>2408.343137119563</v>
      </c>
      <c r="P151" s="43">
        <f t="shared" si="54"/>
        <v>1086.6280603274984</v>
      </c>
      <c r="Q151" s="43">
        <f t="shared" si="54"/>
        <v>986.4052150638638</v>
      </c>
      <c r="R151" s="43">
        <f t="shared" si="54"/>
        <v>636.0153545730078</v>
      </c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</row>
    <row r="152" spans="1:99" ht="12.75">
      <c r="A152" s="1">
        <v>1983</v>
      </c>
      <c r="B152" s="43">
        <f>LN('Annual Total Returns'!B157)</f>
        <v>7.849601997641434</v>
      </c>
      <c r="C152" s="43">
        <f>LN('Annual Total Returns'!C157)</f>
        <v>7.714029926882493</v>
      </c>
      <c r="D152" s="43">
        <f>LN('Annual Total Returns'!D157)</f>
        <v>7.887314052407649</v>
      </c>
      <c r="E152" s="43">
        <f>LN('Annual Total Returns'!E157)</f>
        <v>7.532425253912234</v>
      </c>
      <c r="F152" s="43">
        <f>LN('Annual Total Returns'!F157)</f>
        <v>7.502586109151562</v>
      </c>
      <c r="G152" s="43">
        <f>LN('Annual Total Returns'!G157)</f>
        <v>6.242890626034896</v>
      </c>
      <c r="H152" s="5"/>
      <c r="I152"/>
      <c r="J152" s="43">
        <f>LN('Annual Total Returns'!J157)</f>
        <v>8.831390112997699</v>
      </c>
      <c r="K152"/>
      <c r="L152" s="1">
        <v>1983</v>
      </c>
      <c r="M152" s="43">
        <f aca="true" t="shared" si="55" ref="M152:R167">+M151*(1+M89/100)</f>
        <v>2564.713351711986</v>
      </c>
      <c r="N152" s="43">
        <f t="shared" si="55"/>
        <v>2640.2325244034782</v>
      </c>
      <c r="O152" s="43">
        <f t="shared" si="55"/>
        <v>2609.1319996770194</v>
      </c>
      <c r="P152" s="43">
        <f t="shared" si="55"/>
        <v>1147.665292490493</v>
      </c>
      <c r="Q152" s="43">
        <f t="shared" si="55"/>
        <v>1061.362305078056</v>
      </c>
      <c r="R152" s="43">
        <f t="shared" si="55"/>
        <v>684.2783600777796</v>
      </c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</row>
    <row r="153" spans="1:99" ht="12.75">
      <c r="A153" s="1">
        <v>1984</v>
      </c>
      <c r="B153" s="43">
        <f>LN('Annual Total Returns'!B158)</f>
        <v>7.934442653653441</v>
      </c>
      <c r="C153" s="43">
        <f>LN('Annual Total Returns'!C158)</f>
        <v>7.8030911851868066</v>
      </c>
      <c r="D153" s="43">
        <f>LN('Annual Total Returns'!D158)</f>
        <v>7.967369440880375</v>
      </c>
      <c r="E153" s="43">
        <f>LN('Annual Total Returns'!E158)</f>
        <v>7.6158329892556</v>
      </c>
      <c r="F153" s="43">
        <f>LN('Annual Total Returns'!F158)</f>
        <v>7.590178819063083</v>
      </c>
      <c r="G153" s="43">
        <f>LN('Annual Total Returns'!G158)</f>
        <v>6.329077939902799</v>
      </c>
      <c r="H153" s="5"/>
      <c r="I153"/>
      <c r="J153" s="43">
        <f>LN('Annual Total Returns'!J158)</f>
        <v>9.105986945900824</v>
      </c>
      <c r="K153"/>
      <c r="L153" s="1">
        <v>1984</v>
      </c>
      <c r="M153" s="43">
        <f t="shared" si="55"/>
        <v>2791.802304840631</v>
      </c>
      <c r="N153" s="43">
        <f t="shared" si="55"/>
        <v>2887.4249110790656</v>
      </c>
      <c r="O153" s="43">
        <f t="shared" si="55"/>
        <v>2851.2011319446024</v>
      </c>
      <c r="P153" s="43">
        <f t="shared" si="55"/>
        <v>1226.8492789631166</v>
      </c>
      <c r="Q153" s="43">
        <f t="shared" si="55"/>
        <v>1158.9297714902325</v>
      </c>
      <c r="R153" s="43">
        <f t="shared" si="55"/>
        <v>745.5175827036329</v>
      </c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</row>
    <row r="154" spans="1:99" ht="12.75">
      <c r="A154" s="1">
        <v>1985</v>
      </c>
      <c r="B154" s="43">
        <f>LN('Annual Total Returns'!B159)</f>
        <v>8.014417574414113</v>
      </c>
      <c r="C154" s="43">
        <f>LN('Annual Total Returns'!C159)</f>
        <v>7.881295919824213</v>
      </c>
      <c r="D154" s="43">
        <f>LN('Annual Total Returns'!D159)</f>
        <v>8.043896521869833</v>
      </c>
      <c r="E154" s="43">
        <f>LN('Annual Total Returns'!E159)</f>
        <v>7.689048374790659</v>
      </c>
      <c r="F154" s="43">
        <f>LN('Annual Total Returns'!F159)</f>
        <v>7.669000689177075</v>
      </c>
      <c r="G154" s="43">
        <f>LN('Annual Total Returns'!G159)</f>
        <v>6.4084620580684</v>
      </c>
      <c r="H154" s="5"/>
      <c r="I154"/>
      <c r="J154" s="43">
        <f>LN('Annual Total Returns'!J159)</f>
        <v>9.28997378201384</v>
      </c>
      <c r="K154"/>
      <c r="L154" s="1">
        <v>1985</v>
      </c>
      <c r="M154" s="43">
        <f t="shared" si="55"/>
        <v>3024.2474855614323</v>
      </c>
      <c r="N154" s="43">
        <f t="shared" si="55"/>
        <v>3121.7961538378127</v>
      </c>
      <c r="O154" s="43">
        <f t="shared" si="55"/>
        <v>3079.9043964895527</v>
      </c>
      <c r="P154" s="43">
        <f t="shared" si="55"/>
        <v>1300.3450791145474</v>
      </c>
      <c r="Q154" s="43">
        <f t="shared" si="55"/>
        <v>1253.8076476182694</v>
      </c>
      <c r="R154" s="43">
        <f t="shared" si="55"/>
        <v>807.2784980372369</v>
      </c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</row>
    <row r="155" spans="1:99" ht="12.75">
      <c r="A155" s="1">
        <v>1986</v>
      </c>
      <c r="B155" s="43">
        <f>LN('Annual Total Returns'!B160)</f>
        <v>8.121621200499908</v>
      </c>
      <c r="C155" s="43">
        <f>LN('Annual Total Returns'!C160)</f>
        <v>7.9981923718186625</v>
      </c>
      <c r="D155" s="43">
        <f>LN('Annual Total Returns'!D160)</f>
        <v>8.142759711518483</v>
      </c>
      <c r="E155" s="43">
        <f>LN('Annual Total Returns'!E160)</f>
        <v>7.798619048309816</v>
      </c>
      <c r="F155" s="43">
        <f>LN('Annual Total Returns'!F160)</f>
        <v>7.780607730932699</v>
      </c>
      <c r="G155" s="43">
        <f>LN('Annual Total Returns'!G160)</f>
        <v>6.518626239039817</v>
      </c>
      <c r="H155" s="5"/>
      <c r="I155"/>
      <c r="J155" s="43">
        <f>LN('Annual Total Returns'!J160)</f>
        <v>9.531350101589108</v>
      </c>
      <c r="K155"/>
      <c r="L155" s="1">
        <v>1986</v>
      </c>
      <c r="M155" s="43">
        <f t="shared" si="55"/>
        <v>3366.474052850299</v>
      </c>
      <c r="N155" s="43">
        <f t="shared" si="55"/>
        <v>3512.825328535257</v>
      </c>
      <c r="O155" s="43">
        <f t="shared" si="55"/>
        <v>3461.567580626129</v>
      </c>
      <c r="P155" s="43">
        <f t="shared" si="55"/>
        <v>1419.9279578883495</v>
      </c>
      <c r="Q155" s="43">
        <f t="shared" si="55"/>
        <v>1402.9014371847938</v>
      </c>
      <c r="R155" s="43">
        <f t="shared" si="55"/>
        <v>900.339043160825</v>
      </c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</row>
    <row r="156" spans="1:99" ht="12.75">
      <c r="A156" s="1">
        <v>1987</v>
      </c>
      <c r="B156" s="43">
        <f>LN('Annual Total Returns'!B161)</f>
        <v>8.35307690991153</v>
      </c>
      <c r="C156" s="43">
        <f>LN('Annual Total Returns'!C161)</f>
        <v>8.271142489654185</v>
      </c>
      <c r="D156" s="43">
        <f>LN('Annual Total Returns'!D161)</f>
        <v>8.316211185885997</v>
      </c>
      <c r="E156" s="43">
        <f>LN('Annual Total Returns'!E161)</f>
        <v>8.055639233599162</v>
      </c>
      <c r="F156" s="43">
        <f>LN('Annual Total Returns'!F161)</f>
        <v>8.070794374641643</v>
      </c>
      <c r="G156" s="43">
        <f>LN('Annual Total Returns'!G161)</f>
        <v>6.758107634168332</v>
      </c>
      <c r="H156" s="5"/>
      <c r="I156"/>
      <c r="J156" s="43">
        <f>LN('Annual Total Returns'!J161)</f>
        <v>9.608516507840132</v>
      </c>
      <c r="K156"/>
      <c r="L156" s="1">
        <v>1987</v>
      </c>
      <c r="M156" s="43">
        <f t="shared" si="55"/>
        <v>4243.216673093286</v>
      </c>
      <c r="N156" s="43">
        <f t="shared" si="55"/>
        <v>4651.5407736808975</v>
      </c>
      <c r="O156" s="43">
        <f t="shared" si="55"/>
        <v>4536.146713178705</v>
      </c>
      <c r="P156" s="43">
        <f t="shared" si="55"/>
        <v>1750.5364468519965</v>
      </c>
      <c r="Q156" s="43">
        <f t="shared" si="55"/>
        <v>1649.2099234340724</v>
      </c>
      <c r="R156" s="43">
        <f t="shared" si="55"/>
        <v>1139.410571751909</v>
      </c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</row>
    <row r="157" spans="1:99" ht="12.75">
      <c r="A157" s="1">
        <v>1988</v>
      </c>
      <c r="B157" s="43">
        <f>LN('Annual Total Returns'!B162)</f>
        <v>8.612270460667157</v>
      </c>
      <c r="C157" s="43">
        <f>LN('Annual Total Returns'!C162)</f>
        <v>8.540206726586758</v>
      </c>
      <c r="D157" s="43">
        <f>LN('Annual Total Returns'!D162)</f>
        <v>8.510901901122129</v>
      </c>
      <c r="E157" s="43">
        <f>LN('Annual Total Returns'!E162)</f>
        <v>8.308972727747891</v>
      </c>
      <c r="F157" s="43">
        <f>LN('Annual Total Returns'!F162)</f>
        <v>8.344051203810208</v>
      </c>
      <c r="G157" s="43">
        <f>LN('Annual Total Returns'!G162)</f>
        <v>7.017720673339153</v>
      </c>
      <c r="H157" s="5"/>
      <c r="I157"/>
      <c r="J157" s="43">
        <f>LN('Annual Total Returns'!J162)</f>
        <v>9.717818305859097</v>
      </c>
      <c r="K157"/>
      <c r="L157" s="1">
        <v>1988</v>
      </c>
      <c r="M157" s="43">
        <f t="shared" si="55"/>
        <v>5498.7191411248305</v>
      </c>
      <c r="N157" s="43">
        <f t="shared" si="55"/>
        <v>6094.5971487200895</v>
      </c>
      <c r="O157" s="43">
        <f t="shared" si="55"/>
        <v>5859.206262634029</v>
      </c>
      <c r="P157" s="43">
        <f t="shared" si="55"/>
        <v>2141.1774044136964</v>
      </c>
      <c r="Q157" s="43">
        <f t="shared" si="55"/>
        <v>1931.9035857556164</v>
      </c>
      <c r="R157" s="43">
        <f t="shared" si="55"/>
        <v>1476.1514930232427</v>
      </c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</row>
    <row r="158" spans="1:99" ht="12.75">
      <c r="A158" s="1">
        <v>1989</v>
      </c>
      <c r="B158" s="43">
        <f>LN('Annual Total Returns'!B163)</f>
        <v>8.755735624601797</v>
      </c>
      <c r="C158" s="43">
        <f>LN('Annual Total Returns'!C163)</f>
        <v>8.63816408850172</v>
      </c>
      <c r="D158" s="43">
        <f>LN('Annual Total Returns'!D163)</f>
        <v>8.687627321243777</v>
      </c>
      <c r="E158" s="43">
        <f>LN('Annual Total Returns'!E163)</f>
        <v>8.400737351393811</v>
      </c>
      <c r="F158" s="43">
        <f>LN('Annual Total Returns'!F163)</f>
        <v>8.467153212061913</v>
      </c>
      <c r="G158" s="43">
        <f>LN('Annual Total Returns'!G163)</f>
        <v>7.147780272059168</v>
      </c>
      <c r="H158" s="5"/>
      <c r="I158"/>
      <c r="J158" s="43">
        <f>LN('Annual Total Returns'!J163)</f>
        <v>10.025902799815134</v>
      </c>
      <c r="K158"/>
      <c r="L158" s="1">
        <v>1989</v>
      </c>
      <c r="M158" s="43">
        <f t="shared" si="55"/>
        <v>6346.987847381074</v>
      </c>
      <c r="N158" s="43">
        <f t="shared" si="55"/>
        <v>6718.931753238793</v>
      </c>
      <c r="O158" s="43">
        <f t="shared" si="55"/>
        <v>6487.528361930466</v>
      </c>
      <c r="P158" s="43">
        <f t="shared" si="55"/>
        <v>2302.6498714262443</v>
      </c>
      <c r="Q158" s="43">
        <f t="shared" si="55"/>
        <v>2181.615784987521</v>
      </c>
      <c r="R158" s="43">
        <f t="shared" si="55"/>
        <v>1690.2785660917045</v>
      </c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</row>
    <row r="159" spans="1:99" ht="12.75">
      <c r="A159" s="1">
        <v>1990</v>
      </c>
      <c r="B159" s="43">
        <f>LN('Annual Total Returns'!B164)</f>
        <v>8.667422309549405</v>
      </c>
      <c r="C159" s="43">
        <f>LN('Annual Total Returns'!C164)</f>
        <v>8.450493299675252</v>
      </c>
      <c r="D159" s="43">
        <f>LN('Annual Total Returns'!D164)</f>
        <v>8.758178719251678</v>
      </c>
      <c r="E159" s="43">
        <f>LN('Annual Total Returns'!E164)</f>
        <v>8.226632072535184</v>
      </c>
      <c r="F159" s="43">
        <f>LN('Annual Total Returns'!F164)</f>
        <v>8.195462605002946</v>
      </c>
      <c r="G159" s="43">
        <f>LN('Annual Total Returns'!G164)</f>
        <v>7.023550818044269</v>
      </c>
      <c r="H159" s="5"/>
      <c r="I159"/>
      <c r="J159" s="43">
        <f>LN('Annual Total Returns'!J164)</f>
        <v>9.923461661990627</v>
      </c>
      <c r="K159"/>
      <c r="L159" s="1">
        <v>1990</v>
      </c>
      <c r="M159" s="43">
        <f t="shared" si="55"/>
        <v>5810.502352593346</v>
      </c>
      <c r="N159" s="43">
        <f t="shared" si="55"/>
        <v>5610.337367048157</v>
      </c>
      <c r="O159" s="43">
        <f t="shared" si="55"/>
        <v>5559.817329096122</v>
      </c>
      <c r="P159" s="43">
        <f t="shared" si="55"/>
        <v>2013.019186409369</v>
      </c>
      <c r="Q159" s="43">
        <f t="shared" si="55"/>
        <v>1701.052648643594</v>
      </c>
      <c r="R159" s="43">
        <f t="shared" si="55"/>
        <v>1512.9795426850865</v>
      </c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</row>
    <row r="160" spans="1:99" ht="12.75">
      <c r="A160" s="1">
        <v>1991</v>
      </c>
      <c r="B160" s="43">
        <f>LN('Annual Total Returns'!B165)</f>
        <v>8.63558287163424</v>
      </c>
      <c r="C160" s="43">
        <f>LN('Annual Total Returns'!C165)</f>
        <v>8.438368250860576</v>
      </c>
      <c r="D160" s="43">
        <f>LN('Annual Total Returns'!D165)</f>
        <v>8.813406996365828</v>
      </c>
      <c r="E160" s="43">
        <f>LN('Annual Total Returns'!E165)</f>
        <v>8.21531378125187</v>
      </c>
      <c r="F160" s="43">
        <f>LN('Annual Total Returns'!F165)</f>
        <v>8.185921295733102</v>
      </c>
      <c r="G160" s="43">
        <f>LN('Annual Total Returns'!G165)</f>
        <v>7.00175486245247</v>
      </c>
      <c r="H160" s="5"/>
      <c r="I160"/>
      <c r="J160" s="43">
        <f>LN('Annual Total Returns'!J165)</f>
        <v>10.11199050781552</v>
      </c>
      <c r="K160"/>
      <c r="L160" s="1">
        <v>1991</v>
      </c>
      <c r="M160" s="43">
        <f t="shared" si="55"/>
        <v>5628.413410918006</v>
      </c>
      <c r="N160" s="43">
        <f t="shared" si="55"/>
        <v>5557.725009690763</v>
      </c>
      <c r="O160" s="43">
        <f t="shared" si="55"/>
        <v>5618.576552183441</v>
      </c>
      <c r="P160" s="43">
        <f t="shared" si="55"/>
        <v>1998.9293298114421</v>
      </c>
      <c r="Q160" s="43">
        <f t="shared" si="55"/>
        <v>1689.9182456128065</v>
      </c>
      <c r="R160" s="43">
        <f t="shared" si="55"/>
        <v>1476.5582240473689</v>
      </c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</row>
    <row r="161" spans="1:99" ht="12.75">
      <c r="A161" s="1">
        <v>1992</v>
      </c>
      <c r="B161" s="43">
        <f>LN('Annual Total Returns'!B166)</f>
        <v>8.61871531081328</v>
      </c>
      <c r="C161" s="43">
        <f>LN('Annual Total Returns'!C166)</f>
        <v>8.426874605962245</v>
      </c>
      <c r="D161" s="43">
        <f>LN('Annual Total Returns'!D166)</f>
        <v>8.765616832202884</v>
      </c>
      <c r="E161" s="43">
        <f>LN('Annual Total Returns'!E166)</f>
        <v>8.204584656797497</v>
      </c>
      <c r="F161" s="43">
        <f>LN('Annual Total Returns'!F166)</f>
        <v>8.17513767109964</v>
      </c>
      <c r="G161" s="43">
        <f>LN('Annual Total Returns'!G166)</f>
        <v>6.99033329528831</v>
      </c>
      <c r="H161" s="5"/>
      <c r="I161"/>
      <c r="J161" s="43">
        <f>LN('Annual Total Returns'!J166)</f>
        <v>10.298241736081374</v>
      </c>
      <c r="K161"/>
      <c r="L161" s="1">
        <v>1992</v>
      </c>
      <c r="M161" s="43">
        <f t="shared" si="55"/>
        <v>5534.2720053656485</v>
      </c>
      <c r="N161" s="43">
        <f t="shared" si="55"/>
        <v>5497.340414443561</v>
      </c>
      <c r="O161" s="43">
        <f t="shared" si="55"/>
        <v>5520.8013249995565</v>
      </c>
      <c r="P161" s="43">
        <f t="shared" si="55"/>
        <v>1982.7161122763027</v>
      </c>
      <c r="Q161" s="43">
        <f t="shared" si="55"/>
        <v>1672.822930718592</v>
      </c>
      <c r="R161" s="43">
        <f t="shared" si="55"/>
        <v>1458.5733728006621</v>
      </c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</row>
    <row r="162" spans="1:99" ht="12.75">
      <c r="A162" s="1">
        <v>1993</v>
      </c>
      <c r="B162" s="43">
        <f>LN('Annual Total Returns'!B167)</f>
        <v>8.803173500048247</v>
      </c>
      <c r="C162" s="43">
        <f>LN('Annual Total Returns'!C167)</f>
        <v>8.675360322588217</v>
      </c>
      <c r="D162" s="43">
        <f>LN('Annual Total Returns'!D167)</f>
        <v>8.870368774237734</v>
      </c>
      <c r="E162" s="43">
        <f>LN('Annual Total Returns'!E167)</f>
        <v>8.438406807574745</v>
      </c>
      <c r="F162" s="43">
        <f>LN('Annual Total Returns'!F167)</f>
        <v>8.415915939785638</v>
      </c>
      <c r="G162" s="43">
        <f>LN('Annual Total Returns'!G167)</f>
        <v>7.260753392932862</v>
      </c>
      <c r="H162" s="5"/>
      <c r="I162"/>
      <c r="J162" s="43">
        <f>LN('Annual Total Returns'!J167)</f>
        <v>10.54856883658259</v>
      </c>
      <c r="K162"/>
      <c r="L162" s="1">
        <v>1993</v>
      </c>
      <c r="M162" s="43">
        <f t="shared" si="55"/>
        <v>6655.331222394949</v>
      </c>
      <c r="N162" s="43">
        <f t="shared" si="55"/>
        <v>7160.9261912636985</v>
      </c>
      <c r="O162" s="43">
        <f t="shared" si="55"/>
        <v>7091.92814261894</v>
      </c>
      <c r="P162" s="43">
        <f t="shared" si="55"/>
        <v>2414.6531294306783</v>
      </c>
      <c r="Q162" s="43">
        <f t="shared" si="55"/>
        <v>2089.8200117610177</v>
      </c>
      <c r="R162" s="43">
        <f t="shared" si="55"/>
        <v>1906.2772786607188</v>
      </c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</row>
    <row r="163" spans="1:99" ht="12.75">
      <c r="A163" s="1">
        <v>1994</v>
      </c>
      <c r="B163" s="43">
        <f>LN('Annual Total Returns'!B168)</f>
        <v>8.915655845167553</v>
      </c>
      <c r="C163" s="43">
        <f>LN('Annual Total Returns'!C168)</f>
        <v>8.76040908778182</v>
      </c>
      <c r="D163" s="43">
        <f>LN('Annual Total Returns'!D168)</f>
        <v>8.920720861381035</v>
      </c>
      <c r="E163" s="43">
        <f>LN('Annual Total Returns'!E168)</f>
        <v>8.518046735394297</v>
      </c>
      <c r="F163" s="43">
        <f>LN('Annual Total Returns'!F168)</f>
        <v>8.516061429409918</v>
      </c>
      <c r="G163" s="43">
        <f>LN('Annual Total Returns'!G168)</f>
        <v>7.353135369572807</v>
      </c>
      <c r="H163" s="5"/>
      <c r="I163"/>
      <c r="J163" s="43">
        <f>LN('Annual Total Returns'!J168)</f>
        <v>10.488108797709934</v>
      </c>
      <c r="K163"/>
      <c r="L163" s="1">
        <v>1994</v>
      </c>
      <c r="M163" s="43">
        <f t="shared" si="55"/>
        <v>7447.665042749122</v>
      </c>
      <c r="N163" s="43">
        <f t="shared" si="55"/>
        <v>7787.73994408025</v>
      </c>
      <c r="O163" s="43">
        <f t="shared" si="55"/>
        <v>7591.03316300017</v>
      </c>
      <c r="P163" s="43">
        <f t="shared" si="55"/>
        <v>2570.525743381525</v>
      </c>
      <c r="Q163" s="43">
        <f t="shared" si="55"/>
        <v>2306.973783650127</v>
      </c>
      <c r="R163" s="43">
        <f t="shared" si="55"/>
        <v>2099.4588636147146</v>
      </c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</row>
    <row r="164" spans="1:99" ht="12.75">
      <c r="A164" s="1">
        <v>1995</v>
      </c>
      <c r="B164" s="43">
        <f>LN('Annual Total Returns'!B169)</f>
        <v>8.95095445383783</v>
      </c>
      <c r="C164" s="43">
        <f>LN('Annual Total Returns'!C169)</f>
        <v>8.766180727518867</v>
      </c>
      <c r="D164" s="43">
        <f>LN('Annual Total Returns'!D169)</f>
        <v>9.02182852309664</v>
      </c>
      <c r="E164" s="43">
        <f>LN('Annual Total Returns'!E169)</f>
        <v>8.523437547577325</v>
      </c>
      <c r="F164" s="43">
        <f>LN('Annual Total Returns'!F169)</f>
        <v>8.51785373295377</v>
      </c>
      <c r="G164" s="43">
        <f>LN('Annual Total Returns'!G169)</f>
        <v>7.3201526566764565</v>
      </c>
      <c r="H164" s="5"/>
      <c r="I164"/>
      <c r="J164" s="43">
        <f>LN('Annual Total Returns'!J169)</f>
        <v>10.701686188754188</v>
      </c>
      <c r="K164"/>
      <c r="L164" s="1">
        <v>1995</v>
      </c>
      <c r="M164" s="43">
        <f t="shared" si="55"/>
        <v>7715.2522000700565</v>
      </c>
      <c r="N164" s="43">
        <f t="shared" si="55"/>
        <v>7824.118198478811</v>
      </c>
      <c r="O164" s="43">
        <f t="shared" si="55"/>
        <v>7718.852636738608</v>
      </c>
      <c r="P164" s="43">
        <f t="shared" si="55"/>
        <v>2579.4718588522114</v>
      </c>
      <c r="Q164" s="43">
        <f t="shared" si="55"/>
        <v>2341.5715372266077</v>
      </c>
      <c r="R164" s="43">
        <f t="shared" si="55"/>
        <v>2050.8719146040617</v>
      </c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</row>
    <row r="165" spans="1:99" ht="12.75">
      <c r="A165" s="1">
        <v>1996</v>
      </c>
      <c r="B165" s="43">
        <f>LN('Annual Total Returns'!B170)</f>
        <v>9.047144065010825</v>
      </c>
      <c r="C165" s="43">
        <f>LN('Annual Total Returns'!C170)</f>
        <v>8.88356451922745</v>
      </c>
      <c r="D165" s="43">
        <f>LN('Annual Total Returns'!D170)</f>
        <v>9.129344903770663</v>
      </c>
      <c r="E165" s="43">
        <f>LN('Annual Total Returns'!E170)</f>
        <v>8.63346667094865</v>
      </c>
      <c r="F165" s="43">
        <f>LN('Annual Total Returns'!F170)</f>
        <v>8.627903790280412</v>
      </c>
      <c r="G165" s="43">
        <f>LN('Annual Total Returns'!G170)</f>
        <v>7.474620231365436</v>
      </c>
      <c r="H165" s="5"/>
      <c r="I165"/>
      <c r="J165" s="43">
        <f>LN('Annual Total Returns'!J170)</f>
        <v>10.856039262465346</v>
      </c>
      <c r="K165"/>
      <c r="L165" s="1">
        <v>1996</v>
      </c>
      <c r="M165" s="43">
        <f t="shared" si="55"/>
        <v>8494.244241156293</v>
      </c>
      <c r="N165" s="43">
        <f t="shared" si="55"/>
        <v>8824.848859156775</v>
      </c>
      <c r="O165" s="43">
        <f t="shared" si="55"/>
        <v>8741.368895641439</v>
      </c>
      <c r="P165" s="43">
        <f t="shared" si="55"/>
        <v>2821.6216400166936</v>
      </c>
      <c r="Q165" s="43">
        <f t="shared" si="55"/>
        <v>2619.8468613927053</v>
      </c>
      <c r="R165" s="43">
        <f t="shared" si="55"/>
        <v>2400.597783806316</v>
      </c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</row>
    <row r="166" spans="1:99" ht="12.75">
      <c r="A166" s="1">
        <v>1997</v>
      </c>
      <c r="B166" s="43">
        <f>LN('Annual Total Returns'!B171)</f>
        <v>9.203513168031003</v>
      </c>
      <c r="C166" s="43">
        <f>LN('Annual Total Returns'!C171)</f>
        <v>9.060890027053743</v>
      </c>
      <c r="D166" s="43">
        <f>LN('Annual Total Returns'!D171)</f>
        <v>9.23639876498943</v>
      </c>
      <c r="E166" s="43">
        <f>LN('Annual Total Returns'!E171)</f>
        <v>8.799983354325667</v>
      </c>
      <c r="F166" s="43">
        <f>LN('Annual Total Returns'!F171)</f>
        <v>8.79382258504056</v>
      </c>
      <c r="G166" s="43">
        <f>LN('Annual Total Returns'!G171)</f>
        <v>7.688525621511299</v>
      </c>
      <c r="H166" s="5"/>
      <c r="I166"/>
      <c r="J166" s="43">
        <f>LN('Annual Total Returns'!J171)</f>
        <v>11.067474357737742</v>
      </c>
      <c r="K166"/>
      <c r="L166" s="1">
        <v>1997</v>
      </c>
      <c r="M166" s="43">
        <f t="shared" si="55"/>
        <v>9931.960484652664</v>
      </c>
      <c r="N166" s="43">
        <f t="shared" si="55"/>
        <v>10567.983106984335</v>
      </c>
      <c r="O166" s="43">
        <f t="shared" si="55"/>
        <v>10365.22445558666</v>
      </c>
      <c r="P166" s="43">
        <f t="shared" si="55"/>
        <v>3227.4466749825124</v>
      </c>
      <c r="Q166" s="43">
        <f t="shared" si="55"/>
        <v>3098.3689100453407</v>
      </c>
      <c r="R166" s="43">
        <f t="shared" si="55"/>
        <v>2981.0466491047355</v>
      </c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</row>
    <row r="167" spans="1:99" ht="12.75">
      <c r="A167" s="1">
        <v>1998</v>
      </c>
      <c r="B167" s="43">
        <f>LN('Annual Total Returns'!B172)</f>
        <v>9.314504033479723</v>
      </c>
      <c r="C167" s="43">
        <f>LN('Annual Total Returns'!C172)</f>
        <v>9.154904361532887</v>
      </c>
      <c r="D167" s="43">
        <f>LN('Annual Total Returns'!D172)</f>
        <v>9.337576799737704</v>
      </c>
      <c r="E167" s="43">
        <f>LN('Annual Total Returns'!E172)</f>
        <v>8.888043391461162</v>
      </c>
      <c r="F167" s="43">
        <f>LN('Annual Total Returns'!F172)</f>
        <v>8.897157156846077</v>
      </c>
      <c r="G167" s="43">
        <f>LN('Annual Total Returns'!G172)</f>
        <v>7.742641599654661</v>
      </c>
      <c r="H167" s="5"/>
      <c r="I167"/>
      <c r="J167" s="43">
        <f>LN('Annual Total Returns'!J172)</f>
        <v>11.196419184812127</v>
      </c>
      <c r="K167"/>
      <c r="L167" s="1">
        <v>1998</v>
      </c>
      <c r="M167" s="43">
        <f t="shared" si="55"/>
        <v>11097.820686555462</v>
      </c>
      <c r="N167" s="43">
        <f t="shared" si="55"/>
        <v>11597.700399769536</v>
      </c>
      <c r="O167" s="43">
        <f t="shared" si="55"/>
        <v>11337.93650534683</v>
      </c>
      <c r="P167" s="43">
        <f t="shared" si="55"/>
        <v>3459.0883790230337</v>
      </c>
      <c r="Q167" s="43">
        <f t="shared" si="55"/>
        <v>3432.4607839914543</v>
      </c>
      <c r="R167" s="43">
        <f t="shared" si="55"/>
        <v>3162.1096970878652</v>
      </c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</row>
    <row r="168" spans="1:99" ht="12.75">
      <c r="A168" s="1">
        <v>1999</v>
      </c>
      <c r="B168" s="43">
        <f>LN('Annual Total Returns'!B173)</f>
        <v>9.451352256834541</v>
      </c>
      <c r="C168" s="43">
        <f>LN('Annual Total Returns'!C173)</f>
        <v>9.300965739464647</v>
      </c>
      <c r="D168" s="43">
        <f>LN('Annual Total Returns'!D173)</f>
        <v>9.485040914873538</v>
      </c>
      <c r="E168" s="43">
        <f>LN('Annual Total Returns'!E173)</f>
        <v>9.025073196251753</v>
      </c>
      <c r="F168" s="43">
        <f>LN('Annual Total Returns'!F173)</f>
        <v>9.038190335056598</v>
      </c>
      <c r="G168" s="43">
        <f>LN('Annual Total Returns'!G173)</f>
        <v>7.903971357719887</v>
      </c>
      <c r="H168" s="5"/>
      <c r="I168"/>
      <c r="J168" s="43">
        <f>LN('Annual Total Returns'!J173)</f>
        <v>11.413159060984258</v>
      </c>
      <c r="K168"/>
      <c r="L168" s="1">
        <v>1999</v>
      </c>
      <c r="M168" s="43">
        <f aca="true" t="shared" si="56" ref="M168:R174">+M167*(1+M105/100)</f>
        <v>12725.361591303632</v>
      </c>
      <c r="N168" s="43">
        <f t="shared" si="56"/>
        <v>13435.751800596867</v>
      </c>
      <c r="O168" s="43">
        <f t="shared" si="56"/>
        <v>13174.142167079304</v>
      </c>
      <c r="P168" s="43">
        <f t="shared" si="56"/>
        <v>3860.031639549414</v>
      </c>
      <c r="Q168" s="43">
        <f t="shared" si="56"/>
        <v>3955.1557005500144</v>
      </c>
      <c r="R168" s="43">
        <f t="shared" si="56"/>
        <v>3715.96923443363</v>
      </c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</row>
    <row r="169" spans="1:99" ht="12.75">
      <c r="A169" s="1">
        <v>2000</v>
      </c>
      <c r="B169" s="43">
        <f>LN('Annual Total Returns'!B174)</f>
        <v>9.551086001867924</v>
      </c>
      <c r="C169" s="43">
        <f>LN('Annual Total Returns'!C174)</f>
        <v>9.386894018313374</v>
      </c>
      <c r="D169" s="43">
        <f>LN('Annual Total Returns'!D174)</f>
        <v>9.587432972888596</v>
      </c>
      <c r="E169" s="43">
        <f>LN('Annual Total Returns'!E174)</f>
        <v>9.105538925241198</v>
      </c>
      <c r="F169" s="43">
        <f>LN('Annual Total Returns'!F174)</f>
        <v>9.12895046839767</v>
      </c>
      <c r="G169" s="43">
        <f>LN('Annual Total Returns'!G174)</f>
        <v>7.973336462567267</v>
      </c>
      <c r="H169" s="5"/>
      <c r="I169"/>
      <c r="J169" s="43">
        <f>LN('Annual Total Returns'!J174)</f>
        <v>11.352333018134583</v>
      </c>
      <c r="K169"/>
      <c r="L169" s="1">
        <v>2000</v>
      </c>
      <c r="M169" s="43">
        <f t="shared" si="56"/>
        <v>14059.9555213063</v>
      </c>
      <c r="N169" s="43">
        <f t="shared" si="56"/>
        <v>14627.747888482754</v>
      </c>
      <c r="O169" s="43">
        <f t="shared" si="56"/>
        <v>14338.313590243944</v>
      </c>
      <c r="P169" s="43">
        <f t="shared" si="56"/>
        <v>4112.546979111744</v>
      </c>
      <c r="Q169" s="43">
        <f t="shared" si="56"/>
        <v>4327.274854557524</v>
      </c>
      <c r="R169" s="43">
        <f t="shared" si="56"/>
        <v>3987.7679169340136</v>
      </c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</row>
    <row r="170" spans="1:99" ht="12.75">
      <c r="A170" s="1">
        <v>2001</v>
      </c>
      <c r="B170" s="43">
        <f>LN('Annual Total Returns'!B175)</f>
        <v>9.615987863239438</v>
      </c>
      <c r="C170" s="43">
        <f>LN('Annual Total Returns'!C175)</f>
        <v>9.438859949896601</v>
      </c>
      <c r="D170" s="43">
        <f>LN('Annual Total Returns'!D175)</f>
        <v>9.68350603430959</v>
      </c>
      <c r="E170" s="43">
        <f>LN('Annual Total Returns'!E175)</f>
        <v>9.154148941485394</v>
      </c>
      <c r="F170" s="43">
        <f>LN('Annual Total Returns'!F175)</f>
        <v>9.185442640179607</v>
      </c>
      <c r="G170" s="43">
        <f>LN('Annual Total Returns'!G175)</f>
        <v>8.012703334723799</v>
      </c>
      <c r="H170" s="5"/>
      <c r="I170"/>
      <c r="J170" s="43">
        <f>LN('Annual Total Returns'!J175)</f>
        <v>11.209715223773928</v>
      </c>
      <c r="K170"/>
      <c r="L170" s="1">
        <v>2001</v>
      </c>
      <c r="M170" s="43">
        <f t="shared" si="56"/>
        <v>15002.735996818634</v>
      </c>
      <c r="N170" s="43">
        <f t="shared" si="56"/>
        <v>15394.272571470623</v>
      </c>
      <c r="O170" s="43">
        <f t="shared" si="56"/>
        <v>15178.97228255275</v>
      </c>
      <c r="P170" s="43">
        <f t="shared" si="56"/>
        <v>4272.155353094784</v>
      </c>
      <c r="Q170" s="43">
        <f t="shared" si="56"/>
        <v>4575.096493114297</v>
      </c>
      <c r="R170" s="43">
        <f t="shared" si="56"/>
        <v>4151.692606639139</v>
      </c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</row>
    <row r="171" spans="1:99" ht="12.75">
      <c r="A171" s="1">
        <v>2002</v>
      </c>
      <c r="B171" s="43">
        <f>LN('Annual Total Returns'!B176)</f>
        <v>9.7082024384182</v>
      </c>
      <c r="C171" s="43">
        <f>LN('Annual Total Returns'!C176)</f>
        <v>9.540796706709465</v>
      </c>
      <c r="D171" s="43">
        <f>LN('Annual Total Returns'!D176)</f>
        <v>9.780927804864334</v>
      </c>
      <c r="E171" s="43">
        <f>LN('Annual Total Returns'!E176)</f>
        <v>9.249653213930639</v>
      </c>
      <c r="F171" s="43">
        <f>LN('Annual Total Returns'!F176)</f>
        <v>9.28400265024417</v>
      </c>
      <c r="G171" s="43">
        <f>LN('Annual Total Returns'!G176)</f>
        <v>8.123064204687559</v>
      </c>
      <c r="H171" s="5"/>
      <c r="I171"/>
      <c r="J171" s="43">
        <f>LN('Annual Total Returns'!J176)</f>
        <v>10.952459305633537</v>
      </c>
      <c r="K171"/>
      <c r="L171" s="1">
        <v>2002</v>
      </c>
      <c r="M171" s="43">
        <f t="shared" si="56"/>
        <v>16452.00179438493</v>
      </c>
      <c r="N171" s="43">
        <f t="shared" si="56"/>
        <v>17065.38170537589</v>
      </c>
      <c r="O171" s="43">
        <f t="shared" si="56"/>
        <v>16857.59411954247</v>
      </c>
      <c r="P171" s="43">
        <f t="shared" si="56"/>
        <v>4613.310218109494</v>
      </c>
      <c r="Q171" s="43">
        <f t="shared" si="56"/>
        <v>5053.422861703647</v>
      </c>
      <c r="R171" s="43">
        <f t="shared" si="56"/>
        <v>4636.988973310466</v>
      </c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</row>
    <row r="172" spans="1:99" ht="12.75">
      <c r="A172" s="1">
        <v>2003</v>
      </c>
      <c r="B172" s="43">
        <f>LN('Annual Total Returns'!B177)</f>
        <v>9.811791075225436</v>
      </c>
      <c r="C172" s="43">
        <f>LN('Annual Total Returns'!C177)</f>
        <v>9.648477838993568</v>
      </c>
      <c r="D172" s="43">
        <f>LN('Annual Total Returns'!D177)</f>
        <v>9.867827216359899</v>
      </c>
      <c r="E172" s="43">
        <f>LN('Annual Total Returns'!E177)</f>
        <v>9.350557358840543</v>
      </c>
      <c r="F172" s="43">
        <f>LN('Annual Total Returns'!F177)</f>
        <v>9.389447651999022</v>
      </c>
      <c r="G172" s="43">
        <f>LN('Annual Total Returns'!G177)</f>
        <v>8.23468991653036</v>
      </c>
      <c r="H172" s="5"/>
      <c r="I172"/>
      <c r="J172" s="43">
        <f>LN('Annual Total Returns'!J177)</f>
        <v>11.141922936260245</v>
      </c>
      <c r="K172"/>
      <c r="L172" s="1">
        <v>2003</v>
      </c>
      <c r="M172" s="43">
        <f t="shared" si="56"/>
        <v>18247.64072343145</v>
      </c>
      <c r="N172" s="43">
        <f t="shared" si="56"/>
        <v>19013.619666169856</v>
      </c>
      <c r="O172" s="43">
        <f t="shared" si="56"/>
        <v>18717.197918646572</v>
      </c>
      <c r="P172" s="43">
        <f t="shared" si="56"/>
        <v>5000.4876526384405</v>
      </c>
      <c r="Q172" s="43">
        <f t="shared" si="56"/>
        <v>5617.054076492895</v>
      </c>
      <c r="R172" s="43">
        <f t="shared" si="56"/>
        <v>5184.2881407192945</v>
      </c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</row>
    <row r="173" spans="1:99" ht="12.75">
      <c r="A173" s="1">
        <v>2004</v>
      </c>
      <c r="B173" s="43">
        <f>LN('Annual Total Returns'!B178)</f>
        <v>9.980137432237207</v>
      </c>
      <c r="C173" s="43">
        <f>LN('Annual Total Returns'!C178)</f>
        <v>9.839306635849846</v>
      </c>
      <c r="D173" s="43">
        <f>LN('Annual Total Returns'!D178)</f>
        <v>10.006464613836187</v>
      </c>
      <c r="E173" s="43">
        <f>LN('Annual Total Returns'!E178)</f>
        <v>9.529825784986105</v>
      </c>
      <c r="F173" s="43">
        <f>LN('Annual Total Returns'!F178)</f>
        <v>9.577520511083957</v>
      </c>
      <c r="G173" s="43">
        <f>LN('Annual Total Returns'!G178)</f>
        <v>8.446185492077728</v>
      </c>
      <c r="H173" s="5"/>
      <c r="I173"/>
      <c r="J173" s="43">
        <f>LN('Annual Total Returns'!J178)</f>
        <v>11.262369089336113</v>
      </c>
      <c r="K173"/>
      <c r="L173" s="1">
        <v>2004</v>
      </c>
      <c r="M173" s="43">
        <f t="shared" si="56"/>
        <v>21593.279958566007</v>
      </c>
      <c r="N173" s="43">
        <f t="shared" si="56"/>
        <v>23085.567339991667</v>
      </c>
      <c r="O173" s="43">
        <f t="shared" si="56"/>
        <v>22608.99963193273</v>
      </c>
      <c r="P173" s="43">
        <f t="shared" si="56"/>
        <v>5778.8151754609835</v>
      </c>
      <c r="Q173" s="43">
        <f t="shared" si="56"/>
        <v>6728.896184722586</v>
      </c>
      <c r="R173" s="43">
        <f t="shared" si="56"/>
        <v>6416.49227885942</v>
      </c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</row>
    <row r="174" spans="1:99" ht="12.75">
      <c r="A174" s="1">
        <v>2005</v>
      </c>
      <c r="B174" s="43">
        <f>LN('Annual Total Returns'!B179)</f>
        <v>10.15493072261037</v>
      </c>
      <c r="C174" s="43">
        <f>LN('Annual Total Returns'!C179)</f>
        <v>10.016427361531763</v>
      </c>
      <c r="D174" s="43">
        <f>LN('Annual Total Returns'!D179)</f>
        <v>10.14986592393961</v>
      </c>
      <c r="E174" s="43">
        <f>LN('Annual Total Returns'!E179)</f>
        <v>9.69614915760586</v>
      </c>
      <c r="F174" s="43">
        <f>LN('Annual Total Returns'!F179)</f>
        <v>9.754353407245713</v>
      </c>
      <c r="G174" s="43">
        <f>LN('Annual Total Returns'!G179)</f>
        <v>8.625344924697606</v>
      </c>
      <c r="H174" s="5"/>
      <c r="I174"/>
      <c r="J174" s="43">
        <f>LN('Annual Total Returns'!J179)</f>
        <v>11.45628978197342</v>
      </c>
      <c r="K174"/>
      <c r="L174" s="1">
        <v>2005</v>
      </c>
      <c r="M174" s="43">
        <f t="shared" si="56"/>
        <v>25717.596430652116</v>
      </c>
      <c r="N174" s="43">
        <f t="shared" si="56"/>
        <v>27565.363731781545</v>
      </c>
      <c r="O174" s="43">
        <f t="shared" si="56"/>
        <v>26809.564908853896</v>
      </c>
      <c r="P174" s="43">
        <f t="shared" si="56"/>
        <v>6595.6644450699805</v>
      </c>
      <c r="Q174" s="43">
        <f t="shared" si="56"/>
        <v>8023.900815705919</v>
      </c>
      <c r="R174" s="43">
        <f t="shared" si="56"/>
        <v>7675.491893059654</v>
      </c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</row>
    <row r="175" spans="3:99" ht="12.75">
      <c r="C175" s="5"/>
      <c r="D175" s="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</row>
    <row r="176" spans="3:99" ht="12.75">
      <c r="C176" s="5"/>
      <c r="D176" s="5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</row>
    <row r="177" spans="3:99" ht="12.75">
      <c r="C177" s="5"/>
      <c r="D177" s="5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</row>
    <row r="178" spans="3:99" ht="12.75">
      <c r="C178" s="5"/>
      <c r="D178" s="5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</row>
    <row r="179" spans="3:99" ht="12.75">
      <c r="C179" s="5"/>
      <c r="D179" s="5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</row>
    <row r="180" spans="3:99" ht="12.75">
      <c r="C180" s="5"/>
      <c r="D180" s="5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</row>
    <row r="181" spans="3:99" ht="12.75">
      <c r="C181" s="5"/>
      <c r="D181" s="5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</row>
    <row r="182" spans="3:99" ht="12.75">
      <c r="C182" s="5"/>
      <c r="D182" s="5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</row>
    <row r="183" spans="3:99" ht="12.75">
      <c r="C183" s="5"/>
      <c r="D183" s="5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</row>
    <row r="184" spans="3:99" ht="12.75">
      <c r="C184" s="5"/>
      <c r="D184" s="5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</row>
    <row r="185" spans="3:99" ht="12.75">
      <c r="C185" s="5"/>
      <c r="D185" s="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</row>
    <row r="186" spans="3:99" ht="12.75">
      <c r="C186" s="5"/>
      <c r="D186" s="5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</row>
    <row r="187" spans="3:99" ht="12.75">
      <c r="C187" s="5"/>
      <c r="D187" s="5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</row>
    <row r="188" spans="3:99" ht="12.75">
      <c r="C188" s="5"/>
      <c r="D188" s="5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</row>
    <row r="189" spans="3:99" ht="12.75">
      <c r="C189" s="5"/>
      <c r="D189" s="5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</row>
    <row r="190" spans="3:99" ht="12.75">
      <c r="C190" s="5"/>
      <c r="D190" s="5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</row>
    <row r="191" spans="3:99" ht="12.75">
      <c r="C191" s="5"/>
      <c r="D191" s="5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</row>
    <row r="192" spans="3:99" ht="12.75">
      <c r="C192" s="5"/>
      <c r="D192" s="5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</row>
    <row r="193" spans="3:99" ht="12.75">
      <c r="C193" s="5"/>
      <c r="D193" s="5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</row>
    <row r="194" spans="3:99" ht="12.75">
      <c r="C194" s="5"/>
      <c r="D194" s="5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</row>
    <row r="195" spans="3:99" ht="12.75">
      <c r="C195" s="5"/>
      <c r="D195" s="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</row>
    <row r="196" spans="3:99" ht="12.75">
      <c r="C196" s="5"/>
      <c r="D196" s="5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</row>
    <row r="197" spans="3:99" ht="12.75">
      <c r="C197" s="5"/>
      <c r="D197" s="5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</row>
    <row r="198" spans="3:99" ht="12.75">
      <c r="C198" s="5"/>
      <c r="D198" s="5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</row>
    <row r="199" spans="3:99" ht="12.75">
      <c r="C199" s="5"/>
      <c r="D199" s="5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</row>
    <row r="200" spans="3:99" ht="12.75">
      <c r="C200" s="5"/>
      <c r="D200" s="5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</row>
    <row r="201" spans="3:99" ht="12.75">
      <c r="C201" s="5"/>
      <c r="D201" s="5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</row>
    <row r="202" spans="3:99" ht="12.75">
      <c r="C202" s="5"/>
      <c r="D202" s="5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</row>
    <row r="203" spans="3:99" ht="12.75">
      <c r="C203" s="5"/>
      <c r="D203" s="5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</row>
    <row r="204" spans="3:99" ht="12.75">
      <c r="C204" s="5"/>
      <c r="D204" s="5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</row>
    <row r="205" spans="3:99" ht="12.75">
      <c r="C205" s="5"/>
      <c r="D205" s="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</row>
    <row r="206" spans="3:99" ht="12.75">
      <c r="C206" s="5"/>
      <c r="D206" s="5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</row>
    <row r="207" spans="3:99" ht="12.75">
      <c r="C207" s="5"/>
      <c r="D207" s="5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</row>
    <row r="208" spans="3:99" ht="12.75">
      <c r="C208" s="5"/>
      <c r="D208" s="5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</row>
    <row r="209" spans="3:99" ht="12.75">
      <c r="C209" s="5"/>
      <c r="D209" s="5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</row>
    <row r="210" spans="3:99" ht="12.75">
      <c r="C210" s="5"/>
      <c r="D210" s="5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</row>
    <row r="211" spans="3:99" ht="12.75">
      <c r="C211" s="5"/>
      <c r="D211" s="5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</row>
    <row r="212" spans="3:99" ht="12.75">
      <c r="C212" s="5"/>
      <c r="D212" s="5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</row>
    <row r="213" spans="3:99" ht="12.75">
      <c r="C213" s="5"/>
      <c r="D213" s="5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</row>
    <row r="214" spans="3:99" ht="12.75">
      <c r="C214" s="5"/>
      <c r="D214" s="5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</row>
    <row r="215" spans="3:99" ht="12.75">
      <c r="C215" s="5"/>
      <c r="D215" s="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</row>
    <row r="216" spans="3:99" ht="12.75">
      <c r="C216" s="5"/>
      <c r="D216" s="5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</row>
    <row r="217" spans="3:99" ht="12.75">
      <c r="C217" s="5"/>
      <c r="D217" s="5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</row>
    <row r="218" spans="3:99" ht="12.75">
      <c r="C218" s="5"/>
      <c r="D218" s="5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</row>
    <row r="219" spans="3:99" ht="12.75">
      <c r="C219" s="5"/>
      <c r="D219" s="5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</row>
    <row r="220" spans="3:99" ht="12.75">
      <c r="C220" s="5"/>
      <c r="D220" s="5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</row>
    <row r="221" spans="3:99" ht="12.75">
      <c r="C221" s="5"/>
      <c r="D221" s="5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</row>
    <row r="222" spans="3:99" ht="12.75">
      <c r="C222" s="5"/>
      <c r="D222" s="5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</row>
    <row r="223" spans="3:99" ht="12.75">
      <c r="C223" s="5"/>
      <c r="D223" s="5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</row>
    <row r="224" spans="3:99" ht="12.75">
      <c r="C224" s="5"/>
      <c r="D224" s="5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</row>
    <row r="225" spans="3:99" ht="12.75">
      <c r="C225" s="5"/>
      <c r="D225" s="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</row>
    <row r="226" spans="3:99" ht="12.75">
      <c r="C226" s="5"/>
      <c r="D226" s="5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</row>
    <row r="227" spans="3:99" ht="12.75">
      <c r="C227" s="5"/>
      <c r="D227" s="5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</row>
    <row r="228" spans="3:99" ht="12.75">
      <c r="C228" s="5"/>
      <c r="D228" s="5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</row>
    <row r="229" spans="3:99" ht="12.75">
      <c r="C229" s="5"/>
      <c r="D229" s="5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</row>
    <row r="230" spans="3:99" ht="12.75">
      <c r="C230" s="5"/>
      <c r="D230" s="5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</row>
    <row r="231" spans="3:99" ht="12.75">
      <c r="C231" s="5"/>
      <c r="D231" s="5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</row>
    <row r="232" spans="3:99" ht="12.75">
      <c r="C232" s="5"/>
      <c r="D232" s="5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</row>
    <row r="233" spans="3:99" ht="12.75">
      <c r="C233" s="5"/>
      <c r="D233" s="5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</row>
    <row r="234" spans="3:99" ht="12.75">
      <c r="C234" s="5"/>
      <c r="D234" s="5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</row>
    <row r="235" spans="3:99" ht="12.75">
      <c r="C235" s="5"/>
      <c r="D235" s="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</row>
    <row r="236" spans="3:99" ht="12.75">
      <c r="C236" s="5"/>
      <c r="D236" s="5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</row>
    <row r="237" spans="3:99" ht="12.75">
      <c r="C237" s="5"/>
      <c r="D237" s="5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</row>
    <row r="238" spans="3:99" ht="12.75">
      <c r="C238" s="5"/>
      <c r="D238" s="5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</row>
    <row r="239" spans="3:99" ht="12.75">
      <c r="C239" s="5"/>
      <c r="D239" s="5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</row>
    <row r="240" spans="3:99" ht="12.75">
      <c r="C240" s="5"/>
      <c r="D240" s="5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</row>
    <row r="241" spans="3:99" ht="12.75">
      <c r="C241" s="5"/>
      <c r="D241" s="5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</row>
    <row r="242" spans="3:99" ht="12.75">
      <c r="C242" s="5"/>
      <c r="D242" s="5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</row>
    <row r="243" spans="3:99" ht="12.75">
      <c r="C243" s="5"/>
      <c r="D243" s="5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</row>
    <row r="244" spans="3:99" ht="12.75">
      <c r="C244" s="5"/>
      <c r="D244" s="5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</row>
    <row r="245" spans="3:99" ht="12.75">
      <c r="C245" s="5"/>
      <c r="D245" s="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</row>
    <row r="246" spans="3:99" ht="12.75">
      <c r="C246" s="5"/>
      <c r="D246" s="5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</row>
    <row r="247" spans="3:99" ht="12.75">
      <c r="C247" s="5"/>
      <c r="D247" s="5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</row>
    <row r="248" spans="3:99" ht="12.75">
      <c r="C248" s="5"/>
      <c r="D248" s="5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</row>
    <row r="249" spans="3:99" ht="12.75">
      <c r="C249" s="5"/>
      <c r="D249" s="5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</row>
    <row r="250" spans="3:99" ht="12.75">
      <c r="C250" s="5"/>
      <c r="D250" s="5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</row>
    <row r="251" spans="3:99" ht="12.75">
      <c r="C251" s="5"/>
      <c r="D251" s="5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</row>
    <row r="252" spans="3:99" ht="12.75">
      <c r="C252" s="5"/>
      <c r="D252" s="5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</row>
    <row r="253" spans="3:99" ht="12.75">
      <c r="C253" s="5"/>
      <c r="D253" s="5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</row>
    <row r="254" spans="3:99" ht="12.75">
      <c r="C254" s="5"/>
      <c r="D254" s="5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</row>
    <row r="255" spans="3:99" ht="12.75">
      <c r="C255" s="5"/>
      <c r="D255" s="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</row>
    <row r="256" spans="3:99" ht="12.75">
      <c r="C256" s="5"/>
      <c r="D256" s="5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</row>
    <row r="257" spans="3:99" ht="12.75">
      <c r="C257" s="5"/>
      <c r="D257" s="5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</row>
    <row r="258" spans="3:99" ht="12.75">
      <c r="C258" s="5"/>
      <c r="D258" s="5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</row>
    <row r="259" spans="3:99" ht="12.75">
      <c r="C259" s="5"/>
      <c r="D259" s="5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</row>
    <row r="260" spans="3:99" ht="12.75">
      <c r="C260" s="5"/>
      <c r="D260" s="5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</row>
    <row r="261" spans="3:99" ht="12.75">
      <c r="C261" s="5"/>
      <c r="D261" s="5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</row>
    <row r="262" spans="3:99" ht="12.75">
      <c r="C262" s="5"/>
      <c r="D262" s="5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</row>
    <row r="263" spans="3:99" ht="12.75">
      <c r="C263" s="5"/>
      <c r="D263" s="5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</row>
    <row r="264" spans="3:99" ht="12.75">
      <c r="C264" s="5"/>
      <c r="D264" s="5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</row>
    <row r="265" spans="3:99" ht="12.75">
      <c r="C265" s="5"/>
      <c r="D265" s="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</row>
    <row r="266" spans="3:99" ht="12.75">
      <c r="C266" s="5"/>
      <c r="D266" s="5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</row>
    <row r="267" spans="3:99" ht="12.75">
      <c r="C267" s="5"/>
      <c r="D267" s="5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</row>
    <row r="268" spans="3:99" ht="12.75">
      <c r="C268" s="5"/>
      <c r="D268" s="5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</row>
    <row r="269" spans="3:99" ht="12.75">
      <c r="C269" s="5"/>
      <c r="D269" s="5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</row>
    <row r="270" spans="3:99" ht="12.75">
      <c r="C270" s="5"/>
      <c r="D270" s="5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</row>
    <row r="271" spans="3:99" ht="12.75">
      <c r="C271" s="5"/>
      <c r="D271" s="5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</row>
    <row r="272" spans="3:99" ht="12.75">
      <c r="C272" s="5"/>
      <c r="D272" s="5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</row>
    <row r="273" spans="3:99" ht="12.75">
      <c r="C273" s="5"/>
      <c r="D273" s="5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</row>
    <row r="274" spans="3:99" ht="12.75">
      <c r="C274" s="5"/>
      <c r="D274" s="5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</row>
    <row r="275" spans="3:99" ht="12.75">
      <c r="C275" s="5"/>
      <c r="D275" s="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</row>
    <row r="276" spans="3:99" ht="12.75">
      <c r="C276" s="5"/>
      <c r="D276" s="5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</row>
    <row r="277" spans="3:99" ht="12.75">
      <c r="C277" s="5"/>
      <c r="D277" s="5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</row>
    <row r="278" spans="3:99" ht="12.75">
      <c r="C278" s="5"/>
      <c r="D278" s="5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</row>
    <row r="279" spans="3:99" ht="12.75">
      <c r="C279" s="5"/>
      <c r="D279" s="5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</row>
    <row r="280" spans="3:99" ht="12.75">
      <c r="C280" s="5"/>
      <c r="D280" s="5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</row>
    <row r="281" spans="3:99" ht="12.75">
      <c r="C281" s="5"/>
      <c r="D281" s="5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</row>
    <row r="282" spans="3:99" ht="12.75">
      <c r="C282" s="5"/>
      <c r="D282" s="5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</row>
    <row r="283" spans="3:99" ht="12.75">
      <c r="C283" s="5"/>
      <c r="D283" s="5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</row>
    <row r="284" spans="3:99" ht="12.75">
      <c r="C284" s="5"/>
      <c r="D284" s="5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</row>
    <row r="285" spans="3:99" ht="12.75">
      <c r="C285" s="5"/>
      <c r="D285" s="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</row>
    <row r="286" spans="3:99" ht="12.75">
      <c r="C286" s="5"/>
      <c r="D286" s="5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</row>
    <row r="287" spans="3:99" ht="12.75">
      <c r="C287" s="5"/>
      <c r="D287" s="5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</row>
    <row r="288" spans="3:99" ht="12.75">
      <c r="C288" s="5"/>
      <c r="D288" s="5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</row>
    <row r="289" spans="3:99" ht="12.75">
      <c r="C289" s="5"/>
      <c r="D289" s="5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</row>
    <row r="290" spans="3:99" ht="12.75">
      <c r="C290" s="5"/>
      <c r="D290" s="5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</row>
    <row r="291" spans="3:99" ht="12.75">
      <c r="C291" s="5"/>
      <c r="D291" s="5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</row>
    <row r="292" spans="3:99" ht="12.75">
      <c r="C292" s="5"/>
      <c r="D292" s="5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</row>
    <row r="293" spans="3:99" ht="12.75">
      <c r="C293" s="5"/>
      <c r="D293" s="5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</row>
    <row r="294" spans="3:99" ht="12.75">
      <c r="C294" s="5"/>
      <c r="D294" s="5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</row>
    <row r="295" spans="3:99" ht="12.75">
      <c r="C295" s="5"/>
      <c r="D295" s="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</row>
    <row r="296" spans="3:99" ht="12.75">
      <c r="C296" s="5"/>
      <c r="D296" s="5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</row>
    <row r="297" spans="3:99" ht="12.75">
      <c r="C297" s="5"/>
      <c r="D297" s="5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</row>
    <row r="298" spans="3:99" ht="12.75">
      <c r="C298" s="5"/>
      <c r="D298" s="5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</row>
    <row r="299" spans="3:99" ht="12.75">
      <c r="C299" s="5"/>
      <c r="D299" s="5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</row>
    <row r="300" spans="3:99" ht="12.75">
      <c r="C300" s="5"/>
      <c r="D300" s="5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</row>
    <row r="301" spans="3:99" ht="12.75">
      <c r="C301" s="5"/>
      <c r="D301" s="5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</row>
    <row r="302" spans="3:99" ht="12.75">
      <c r="C302" s="5"/>
      <c r="D302" s="5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</row>
    <row r="303" spans="3:99" ht="12.75">
      <c r="C303" s="5"/>
      <c r="D303" s="5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</row>
    <row r="304" spans="3:99" ht="12.75">
      <c r="C304" s="5"/>
      <c r="D304" s="5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</row>
    <row r="305" spans="3:99" ht="12.75">
      <c r="C305" s="5"/>
      <c r="D305" s="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</row>
    <row r="306" spans="3:99" ht="12.75">
      <c r="C306" s="5"/>
      <c r="D306" s="5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</row>
    <row r="307" spans="3:99" ht="12.75">
      <c r="C307" s="5"/>
      <c r="D307" s="5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</row>
    <row r="308" spans="3:99" ht="12.75">
      <c r="C308" s="5"/>
      <c r="D308" s="5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</row>
    <row r="309" spans="3:99" ht="12.75">
      <c r="C309" s="5"/>
      <c r="D309" s="5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</row>
    <row r="310" spans="3:99" ht="12.75">
      <c r="C310" s="5"/>
      <c r="D310" s="5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</row>
    <row r="311" spans="3:99" ht="12.75">
      <c r="C311" s="5"/>
      <c r="D311" s="5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</row>
    <row r="312" spans="3:99" ht="12.75">
      <c r="C312" s="5"/>
      <c r="D312" s="5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</row>
    <row r="313" spans="3:99" ht="12.75">
      <c r="C313" s="5"/>
      <c r="D313" s="5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</row>
    <row r="314" spans="3:99" ht="12.75">
      <c r="C314" s="5"/>
      <c r="D314" s="5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</row>
    <row r="315" spans="3:99" ht="12.75">
      <c r="C315" s="5"/>
      <c r="D315" s="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</row>
    <row r="316" spans="3:99" ht="12.75">
      <c r="C316" s="5"/>
      <c r="D316" s="5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</row>
    <row r="317" spans="3:99" ht="12.75">
      <c r="C317" s="5"/>
      <c r="D317" s="5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</row>
    <row r="318" spans="3:99" ht="12.75">
      <c r="C318" s="5"/>
      <c r="D318" s="5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</row>
    <row r="319" spans="3:99" ht="12.75">
      <c r="C319" s="5"/>
      <c r="D319" s="5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</row>
    <row r="320" spans="3:99" ht="12.75">
      <c r="C320" s="5"/>
      <c r="D320" s="5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</row>
    <row r="321" spans="3:99" ht="12.75">
      <c r="C321" s="5"/>
      <c r="D321" s="5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</row>
    <row r="322" spans="3:99" ht="12.75">
      <c r="C322" s="5"/>
      <c r="D322" s="5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</row>
    <row r="323" spans="3:99" ht="12.75">
      <c r="C323" s="5"/>
      <c r="D323" s="5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</row>
    <row r="324" spans="3:99" ht="12.75">
      <c r="C324" s="5"/>
      <c r="D324" s="5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</row>
    <row r="325" spans="3:99" ht="12.75">
      <c r="C325" s="5"/>
      <c r="D325" s="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</row>
    <row r="326" spans="3:99" ht="12.75">
      <c r="C326" s="5"/>
      <c r="D326" s="5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</row>
    <row r="327" spans="3:99" ht="12.75">
      <c r="C327" s="5"/>
      <c r="D327" s="5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</row>
    <row r="328" spans="3:99" ht="12.75">
      <c r="C328" s="5"/>
      <c r="D328" s="5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</row>
    <row r="329" spans="3:99" ht="12.75">
      <c r="C329" s="5"/>
      <c r="D329" s="5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</row>
    <row r="330" spans="3:99" ht="12.75">
      <c r="C330" s="5"/>
      <c r="D330" s="5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</row>
    <row r="331" spans="3:99" ht="12.75">
      <c r="C331" s="5"/>
      <c r="D331" s="5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</row>
    <row r="332" spans="3:99" ht="12.75">
      <c r="C332" s="5"/>
      <c r="D332" s="5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</row>
    <row r="333" spans="3:99" ht="12.75">
      <c r="C333" s="5"/>
      <c r="D333" s="5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</row>
    <row r="334" spans="3:99" ht="12.75">
      <c r="C334" s="5"/>
      <c r="D334" s="5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</row>
    <row r="335" spans="3:99" ht="12.75">
      <c r="C335" s="5"/>
      <c r="D335" s="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</row>
    <row r="336" spans="3:99" ht="12.75">
      <c r="C336" s="5"/>
      <c r="D336" s="5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</row>
    <row r="337" spans="3:99" ht="12.75">
      <c r="C337" s="5"/>
      <c r="D337" s="5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</row>
    <row r="338" spans="3:99" ht="12.75">
      <c r="C338" s="5"/>
      <c r="D338" s="5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</row>
    <row r="339" spans="3:99" ht="12.75">
      <c r="C339" s="5"/>
      <c r="D339" s="5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</row>
    <row r="340" spans="3:99" ht="12.75">
      <c r="C340" s="5"/>
      <c r="D340" s="5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</row>
    <row r="341" spans="3:99" ht="12.75">
      <c r="C341" s="5"/>
      <c r="D341" s="5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</row>
    <row r="342" spans="3:99" ht="12.75">
      <c r="C342" s="5"/>
      <c r="D342" s="5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</row>
    <row r="343" spans="3:99" ht="12.75">
      <c r="C343" s="5"/>
      <c r="D343" s="5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</row>
    <row r="344" spans="3:99" ht="12.75">
      <c r="C344" s="5"/>
      <c r="D344" s="5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</row>
    <row r="345" spans="3:99" ht="12.75">
      <c r="C345" s="5"/>
      <c r="D345" s="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</row>
    <row r="346" spans="3:99" ht="12.75">
      <c r="C346" s="5"/>
      <c r="D346" s="5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</row>
    <row r="347" spans="3:99" ht="12.75">
      <c r="C347" s="5"/>
      <c r="D347" s="5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</row>
    <row r="348" spans="3:99" ht="12.75">
      <c r="C348" s="5"/>
      <c r="D348" s="5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</row>
    <row r="349" spans="3:99" ht="12.75">
      <c r="C349" s="5"/>
      <c r="D349" s="5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</row>
    <row r="350" spans="3:99" ht="12.75">
      <c r="C350" s="5"/>
      <c r="D350" s="5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</row>
    <row r="351" spans="3:99" ht="12.75">
      <c r="C351" s="5"/>
      <c r="D351" s="5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</row>
    <row r="352" spans="3:99" ht="12.75">
      <c r="C352" s="5"/>
      <c r="D352" s="5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</row>
    <row r="353" spans="3:99" ht="12.75">
      <c r="C353" s="5"/>
      <c r="D353" s="5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</row>
    <row r="354" spans="3:99" ht="12.75">
      <c r="C354" s="5"/>
      <c r="D354" s="5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</row>
    <row r="355" spans="3:99" ht="12.75">
      <c r="C355" s="5"/>
      <c r="D355" s="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</row>
    <row r="356" spans="3:99" ht="12.75">
      <c r="C356" s="5"/>
      <c r="D356" s="5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</row>
    <row r="357" spans="3:99" ht="12.75">
      <c r="C357" s="5"/>
      <c r="D357" s="5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</row>
    <row r="358" spans="3:99" ht="12.75">
      <c r="C358" s="5"/>
      <c r="D358" s="5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</row>
    <row r="359" spans="3:99" ht="12.75">
      <c r="C359" s="5"/>
      <c r="D359" s="5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</row>
    <row r="360" spans="3:99" ht="12.75">
      <c r="C360" s="5"/>
      <c r="D360" s="5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</row>
    <row r="361" spans="3:99" ht="12.75">
      <c r="C361" s="5"/>
      <c r="D361" s="5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</row>
    <row r="362" spans="3:99" ht="12.75">
      <c r="C362" s="5"/>
      <c r="D362" s="5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</row>
    <row r="363" spans="3:99" ht="12.75">
      <c r="C363" s="5"/>
      <c r="D363" s="5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</row>
    <row r="364" spans="3:99" ht="12.75">
      <c r="C364" s="5"/>
      <c r="D364" s="5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</row>
    <row r="365" spans="3:99" ht="12.75">
      <c r="C365" s="5"/>
      <c r="D365" s="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</row>
    <row r="366" spans="3:99" ht="12.75">
      <c r="C366" s="5"/>
      <c r="D366" s="5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</row>
    <row r="367" spans="3:99" ht="12.75">
      <c r="C367" s="5"/>
      <c r="D367" s="5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</row>
    <row r="368" spans="3:99" ht="12.75">
      <c r="C368" s="5"/>
      <c r="D368" s="5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</row>
    <row r="369" spans="3:99" ht="12.75">
      <c r="C369" s="5"/>
      <c r="D369" s="5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</row>
    <row r="370" spans="3:99" ht="12.75">
      <c r="C370" s="5"/>
      <c r="D370" s="5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</row>
    <row r="371" spans="3:99" ht="12.75">
      <c r="C371" s="5"/>
      <c r="D371" s="5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</row>
    <row r="372" spans="3:99" ht="12.75">
      <c r="C372" s="5"/>
      <c r="D372" s="5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</row>
    <row r="373" spans="3:99" ht="12.75">
      <c r="C373" s="5"/>
      <c r="D373" s="5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</row>
    <row r="374" spans="3:99" ht="12.75">
      <c r="C374" s="5"/>
      <c r="D374" s="5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</row>
    <row r="375" spans="3:99" ht="12.75">
      <c r="C375" s="5"/>
      <c r="D375" s="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</row>
    <row r="376" spans="3:99" ht="12.75">
      <c r="C376" s="5"/>
      <c r="D376" s="5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</row>
    <row r="377" spans="3:99" ht="12.75">
      <c r="C377" s="5"/>
      <c r="D377" s="5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</row>
    <row r="378" spans="3:99" ht="12.75">
      <c r="C378" s="5"/>
      <c r="D378" s="5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</row>
    <row r="379" spans="3:99" ht="12.75">
      <c r="C379" s="5"/>
      <c r="D379" s="5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</row>
    <row r="380" spans="3:99" ht="12.75">
      <c r="C380" s="5"/>
      <c r="D380" s="5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</row>
    <row r="381" spans="3:99" ht="12.75">
      <c r="C381" s="5"/>
      <c r="D381" s="5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</row>
    <row r="382" spans="3:99" ht="12.75">
      <c r="C382" s="5"/>
      <c r="D382" s="5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</row>
    <row r="383" spans="3:99" ht="12.75">
      <c r="C383" s="5"/>
      <c r="D383" s="5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</row>
    <row r="384" spans="3:99" ht="12.75">
      <c r="C384" s="5"/>
      <c r="D384" s="5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</row>
    <row r="385" spans="3:99" ht="12.75">
      <c r="C385" s="5"/>
      <c r="D385" s="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</row>
    <row r="386" spans="3:99" ht="12.75">
      <c r="C386" s="5"/>
      <c r="D386" s="5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</row>
    <row r="387" spans="3:99" ht="12.75">
      <c r="C387" s="5"/>
      <c r="D387" s="5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</row>
    <row r="388" spans="3:99" ht="12.75">
      <c r="C388" s="5"/>
      <c r="D388" s="5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</row>
    <row r="389" spans="3:99" ht="12.75">
      <c r="C389" s="5"/>
      <c r="D389" s="5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</row>
    <row r="390" spans="3:99" ht="12.75">
      <c r="C390" s="5"/>
      <c r="D390" s="5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</row>
    <row r="391" spans="3:99" ht="12.75">
      <c r="C391" s="5"/>
      <c r="D391" s="5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</row>
    <row r="392" spans="3:99" ht="12.75">
      <c r="C392" s="5"/>
      <c r="D392" s="5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</row>
    <row r="393" spans="3:99" ht="12.75">
      <c r="C393" s="5"/>
      <c r="D393" s="5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</row>
    <row r="394" spans="3:99" ht="12.75">
      <c r="C394" s="5"/>
      <c r="D394" s="5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</row>
    <row r="395" spans="3:99" ht="12.75">
      <c r="C395" s="5"/>
      <c r="D395" s="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</row>
    <row r="396" spans="3:99" ht="12.75">
      <c r="C396" s="5"/>
      <c r="D396" s="5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</row>
    <row r="397" spans="3:99" ht="12.75">
      <c r="C397" s="5"/>
      <c r="D397" s="5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</row>
    <row r="398" spans="3:99" ht="12.75">
      <c r="C398" s="5"/>
      <c r="D398" s="5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</row>
    <row r="399" spans="3:99" ht="12.75">
      <c r="C399" s="5"/>
      <c r="D399" s="5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</row>
    <row r="400" spans="3:99" ht="12.75">
      <c r="C400" s="5"/>
      <c r="D400" s="5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</row>
    <row r="401" spans="3:99" ht="12.75">
      <c r="C401" s="5"/>
      <c r="D401" s="5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</row>
    <row r="402" spans="3:99" ht="12.75">
      <c r="C402" s="5"/>
      <c r="D402" s="5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</row>
    <row r="403" spans="3:99" ht="12.75">
      <c r="C403" s="5"/>
      <c r="D403" s="5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</row>
    <row r="404" spans="3:99" ht="12.75">
      <c r="C404" s="5"/>
      <c r="D404" s="5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</row>
    <row r="405" spans="3:99" ht="12.75">
      <c r="C405" s="5"/>
      <c r="D405" s="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</row>
    <row r="406" spans="3:99" ht="12.75">
      <c r="C406" s="5"/>
      <c r="D406" s="5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</row>
    <row r="407" spans="3:99" ht="12.75">
      <c r="C407" s="5"/>
      <c r="D407" s="5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</row>
    <row r="408" spans="3:99" ht="12.75">
      <c r="C408" s="5"/>
      <c r="D408" s="5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</row>
    <row r="409" spans="3:99" ht="12.75">
      <c r="C409" s="5"/>
      <c r="D409" s="5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</row>
    <row r="410" spans="3:99" ht="12.75">
      <c r="C410" s="5"/>
      <c r="D410" s="5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</row>
    <row r="411" spans="3:99" ht="12.75">
      <c r="C411" s="5"/>
      <c r="D411" s="5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</row>
    <row r="412" spans="3:99" ht="12.75">
      <c r="C412" s="5"/>
      <c r="D412" s="5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</row>
    <row r="413" spans="3:99" ht="12.75">
      <c r="C413" s="5"/>
      <c r="D413" s="5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</row>
    <row r="414" spans="3:99" ht="12.75">
      <c r="C414" s="5"/>
      <c r="D414" s="5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</row>
    <row r="415" spans="3:99" ht="12.75">
      <c r="C415" s="5"/>
      <c r="D415" s="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</row>
    <row r="416" spans="3:99" ht="12.75">
      <c r="C416" s="5"/>
      <c r="D416" s="5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</row>
    <row r="417" spans="3:99" ht="12.75">
      <c r="C417" s="5"/>
      <c r="D417" s="5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</row>
    <row r="418" spans="3:99" ht="12.75">
      <c r="C418" s="5"/>
      <c r="D418" s="5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</row>
    <row r="419" spans="3:99" ht="12.75">
      <c r="C419" s="5"/>
      <c r="D419" s="5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</row>
    <row r="420" spans="3:99" ht="12.75">
      <c r="C420" s="5"/>
      <c r="D420" s="5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</row>
    <row r="421" spans="3:99" ht="12.75">
      <c r="C421" s="5"/>
      <c r="D421" s="5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</row>
    <row r="422" spans="3:99" ht="12.75">
      <c r="C422" s="5"/>
      <c r="D422" s="5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</row>
    <row r="423" spans="3:99" ht="12.75">
      <c r="C423" s="5"/>
      <c r="D423" s="5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</row>
    <row r="424" spans="3:99" ht="12.75">
      <c r="C424" s="5"/>
      <c r="D424" s="5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</row>
    <row r="425" spans="3:99" ht="12.75">
      <c r="C425" s="5"/>
      <c r="D425" s="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</row>
    <row r="426" spans="3:99" ht="12.75">
      <c r="C426" s="5"/>
      <c r="D426" s="5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</row>
    <row r="427" spans="3:99" ht="12.75">
      <c r="C427" s="5"/>
      <c r="D427" s="5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</row>
    <row r="428" spans="3:99" ht="12.75">
      <c r="C428" s="5"/>
      <c r="D428" s="5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</row>
    <row r="429" spans="3:99" ht="12.75">
      <c r="C429" s="5"/>
      <c r="D429" s="5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</row>
    <row r="430" spans="3:99" ht="12.75">
      <c r="C430" s="5"/>
      <c r="D430" s="5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</row>
    <row r="431" spans="3:99" ht="12.75">
      <c r="C431" s="5"/>
      <c r="D431" s="5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</row>
    <row r="432" spans="3:99" ht="12.75">
      <c r="C432" s="5"/>
      <c r="D432" s="5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</row>
    <row r="433" spans="3:99" ht="12.75">
      <c r="C433" s="5"/>
      <c r="D433" s="5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</row>
    <row r="434" spans="3:99" ht="12.75">
      <c r="C434" s="5"/>
      <c r="D434" s="5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</row>
    <row r="435" spans="3:99" ht="12.75">
      <c r="C435" s="5"/>
      <c r="D435" s="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</row>
    <row r="436" spans="3:99" ht="12.75">
      <c r="C436" s="5"/>
      <c r="D436" s="5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</row>
    <row r="437" spans="3:99" ht="12.75">
      <c r="C437" s="5"/>
      <c r="D437" s="5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</row>
    <row r="438" spans="3:99" ht="12.75">
      <c r="C438" s="5"/>
      <c r="D438" s="5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</row>
    <row r="439" spans="3:99" ht="12.75">
      <c r="C439" s="5"/>
      <c r="D439" s="5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</row>
    <row r="440" spans="3:99" ht="12.75">
      <c r="C440" s="5"/>
      <c r="D440" s="5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</row>
    <row r="441" spans="3:99" ht="12.75">
      <c r="C441" s="5"/>
      <c r="D441" s="5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</row>
    <row r="442" spans="3:99" ht="12.75">
      <c r="C442" s="5"/>
      <c r="D442" s="5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</row>
    <row r="443" spans="3:99" ht="12.75">
      <c r="C443" s="5"/>
      <c r="D443" s="5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</row>
    <row r="444" spans="3:99" ht="12.75">
      <c r="C444" s="5"/>
      <c r="D444" s="5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</row>
    <row r="445" spans="3:99" ht="12.75">
      <c r="C445" s="5"/>
      <c r="D445" s="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</row>
    <row r="446" spans="3:99" ht="12.75">
      <c r="C446" s="5"/>
      <c r="D446" s="5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</row>
    <row r="447" spans="3:99" ht="12.75">
      <c r="C447" s="5"/>
      <c r="D447" s="5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</row>
    <row r="448" spans="3:99" ht="12.75">
      <c r="C448" s="5"/>
      <c r="D448" s="5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</row>
    <row r="449" spans="3:99" ht="12.75">
      <c r="C449" s="5"/>
      <c r="D449" s="5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</row>
    <row r="450" spans="3:99" ht="12.75">
      <c r="C450" s="5"/>
      <c r="D450" s="5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</row>
    <row r="451" spans="3:99" ht="12.75">
      <c r="C451" s="5"/>
      <c r="D451" s="5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</row>
    <row r="452" spans="3:99" ht="12.75">
      <c r="C452" s="5"/>
      <c r="D452" s="5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</row>
    <row r="453" spans="3:99" ht="12.75">
      <c r="C453" s="5"/>
      <c r="D453" s="5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</row>
    <row r="454" spans="3:99" ht="12.75">
      <c r="C454" s="5"/>
      <c r="D454" s="5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</row>
    <row r="455" spans="3:99" ht="12.75">
      <c r="C455" s="5"/>
      <c r="D455" s="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</row>
    <row r="456" spans="3:99" ht="12.75">
      <c r="C456" s="5"/>
      <c r="D456" s="5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</row>
    <row r="457" spans="3:99" ht="12.75">
      <c r="C457" s="5"/>
      <c r="D457" s="5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</row>
    <row r="458" spans="3:99" ht="12.75">
      <c r="C458" s="5"/>
      <c r="D458" s="5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</row>
    <row r="459" spans="3:99" ht="12.75">
      <c r="C459" s="5"/>
      <c r="D459" s="5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</row>
    <row r="460" spans="3:99" ht="12.75">
      <c r="C460" s="5"/>
      <c r="D460" s="5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</row>
    <row r="461" spans="3:99" ht="12.75">
      <c r="C461" s="5"/>
      <c r="D461" s="5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</row>
    <row r="462" spans="3:99" ht="12.75">
      <c r="C462" s="5"/>
      <c r="D462" s="5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</row>
    <row r="463" spans="3:99" ht="12.75">
      <c r="C463" s="5"/>
      <c r="D463" s="5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</row>
    <row r="464" spans="3:99" ht="12.75">
      <c r="C464" s="5"/>
      <c r="D464" s="5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</row>
    <row r="465" spans="3:99" ht="12.75">
      <c r="C465" s="5"/>
      <c r="D465" s="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</row>
    <row r="466" spans="3:99" ht="12.75">
      <c r="C466" s="5"/>
      <c r="D466" s="5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</row>
    <row r="467" spans="3:99" ht="12.75">
      <c r="C467" s="5"/>
      <c r="D467" s="5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</row>
    <row r="468" spans="3:99" ht="12.75">
      <c r="C468" s="5"/>
      <c r="D468" s="5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</row>
    <row r="469" spans="3:99" ht="12.75">
      <c r="C469" s="5"/>
      <c r="D469" s="5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</row>
    <row r="470" spans="3:99" ht="12.75">
      <c r="C470" s="5"/>
      <c r="D470" s="5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</row>
    <row r="471" spans="3:99" ht="12.75">
      <c r="C471" s="5"/>
      <c r="D471" s="5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</row>
    <row r="472" spans="3:99" ht="12.75">
      <c r="C472" s="5"/>
      <c r="D472" s="5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</row>
    <row r="473" spans="3:99" ht="12.75">
      <c r="C473" s="5"/>
      <c r="D473" s="5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</row>
    <row r="474" spans="3:99" ht="12.75">
      <c r="C474" s="5"/>
      <c r="D474" s="5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</row>
    <row r="475" spans="3:99" ht="12.75">
      <c r="C475" s="5"/>
      <c r="D475" s="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</row>
    <row r="476" spans="3:99" ht="12.75">
      <c r="C476" s="5"/>
      <c r="D476" s="5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</row>
    <row r="477" spans="3:99" ht="12.75">
      <c r="C477" s="5"/>
      <c r="D477" s="5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</row>
    <row r="478" spans="3:99" ht="12.75">
      <c r="C478" s="5"/>
      <c r="D478" s="5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</row>
    <row r="479" spans="3:99" ht="12.75">
      <c r="C479" s="5"/>
      <c r="D479" s="5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</row>
    <row r="480" spans="3:99" ht="12.75">
      <c r="C480" s="5"/>
      <c r="D480" s="5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</row>
    <row r="481" spans="3:99" ht="12.75">
      <c r="C481" s="5"/>
      <c r="D481" s="5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</row>
    <row r="482" spans="3:99" ht="12.75">
      <c r="C482" s="5"/>
      <c r="D482" s="5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</row>
    <row r="483" spans="3:99" ht="12.75">
      <c r="C483" s="5"/>
      <c r="D483" s="5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</row>
    <row r="484" spans="3:99" ht="12.75">
      <c r="C484" s="5"/>
      <c r="D484" s="5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</row>
    <row r="485" spans="3:99" ht="12.75">
      <c r="C485" s="5"/>
      <c r="D485" s="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</row>
    <row r="486" spans="3:99" ht="12.75">
      <c r="C486" s="5"/>
      <c r="D486" s="5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</row>
    <row r="487" spans="3:99" ht="12.75">
      <c r="C487" s="5"/>
      <c r="D487" s="5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</row>
    <row r="488" spans="3:99" ht="12.75">
      <c r="C488" s="5"/>
      <c r="D488" s="5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</row>
    <row r="489" spans="3:99" ht="12.75">
      <c r="C489" s="5"/>
      <c r="D489" s="5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</row>
    <row r="490" spans="3:99" ht="12.75">
      <c r="C490" s="5"/>
      <c r="D490" s="5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</row>
    <row r="491" spans="3:99" ht="12.75">
      <c r="C491" s="5"/>
      <c r="D491" s="5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</row>
    <row r="492" spans="3:99" ht="12.75">
      <c r="C492" s="5"/>
      <c r="D492" s="5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</row>
    <row r="493" spans="3:99" ht="12.75">
      <c r="C493" s="5"/>
      <c r="D493" s="5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</row>
    <row r="494" spans="3:99" ht="12.75">
      <c r="C494" s="5"/>
      <c r="D494" s="5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</row>
    <row r="495" spans="3:99" ht="12.75">
      <c r="C495" s="5"/>
      <c r="D495" s="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</row>
    <row r="496" spans="3:99" ht="12.75">
      <c r="C496" s="5"/>
      <c r="D496" s="5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</row>
    <row r="497" spans="3:99" ht="12.75">
      <c r="C497" s="5"/>
      <c r="D497" s="5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</row>
    <row r="498" spans="3:99" ht="12.75">
      <c r="C498" s="5"/>
      <c r="D498" s="5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</row>
    <row r="499" spans="3:99" ht="12.75">
      <c r="C499" s="5"/>
      <c r="D499" s="5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</row>
    <row r="500" spans="3:99" ht="12.75">
      <c r="C500" s="5"/>
      <c r="D500" s="5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</row>
    <row r="501" spans="3:99" ht="12.75">
      <c r="C501" s="5"/>
      <c r="D501" s="5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</row>
    <row r="502" spans="3:99" ht="12.75">
      <c r="C502" s="5"/>
      <c r="D502" s="5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</row>
    <row r="503" spans="3:99" ht="12.75">
      <c r="C503" s="5"/>
      <c r="D503" s="5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</row>
    <row r="504" spans="3:99" ht="12.75">
      <c r="C504" s="5"/>
      <c r="D504" s="5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</row>
    <row r="505" spans="3:99" ht="12.75">
      <c r="C505" s="5"/>
      <c r="D505" s="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</row>
    <row r="506" spans="3:99" ht="12.75">
      <c r="C506" s="5"/>
      <c r="D506" s="5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</row>
    <row r="507" spans="3:99" ht="12.75">
      <c r="C507" s="5"/>
      <c r="D507" s="5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</row>
    <row r="508" spans="3:99" ht="12.75">
      <c r="C508" s="5"/>
      <c r="D508" s="5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</row>
    <row r="509" spans="3:99" ht="12.75">
      <c r="C509" s="5"/>
      <c r="D509" s="5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</row>
    <row r="510" spans="3:99" ht="12.75">
      <c r="C510" s="5"/>
      <c r="D510" s="5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</row>
    <row r="511" spans="3:99" ht="12.75">
      <c r="C511" s="5"/>
      <c r="D511" s="5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</row>
    <row r="512" spans="3:99" ht="12.75">
      <c r="C512" s="5"/>
      <c r="D512" s="5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</row>
    <row r="513" spans="3:99" ht="12.75">
      <c r="C513" s="5"/>
      <c r="D513" s="5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</row>
    <row r="514" spans="3:99" ht="12.75">
      <c r="C514" s="5"/>
      <c r="D514" s="5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</row>
    <row r="515" spans="3:99" ht="12.75">
      <c r="C515" s="5"/>
      <c r="D515" s="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</row>
    <row r="516" spans="3:99" ht="12.75">
      <c r="C516" s="5"/>
      <c r="D516" s="5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</row>
    <row r="517" spans="3:99" ht="12.75">
      <c r="C517" s="5"/>
      <c r="D517" s="5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</row>
    <row r="518" spans="3:99" ht="12.75">
      <c r="C518" s="5"/>
      <c r="D518" s="5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</row>
    <row r="519" spans="3:99" ht="12.75">
      <c r="C519" s="5"/>
      <c r="D519" s="5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</row>
    <row r="520" spans="3:99" ht="12.75">
      <c r="C520" s="5"/>
      <c r="D520" s="5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</row>
    <row r="521" spans="3:99" ht="12.75">
      <c r="C521" s="5"/>
      <c r="D521" s="5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</row>
    <row r="522" spans="3:99" ht="12.75">
      <c r="C522" s="5"/>
      <c r="D522" s="5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</row>
    <row r="523" spans="3:99" ht="12.75">
      <c r="C523" s="5"/>
      <c r="D523" s="5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</row>
    <row r="524" spans="3:99" ht="12.75">
      <c r="C524" s="5"/>
      <c r="D524" s="5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</row>
    <row r="525" spans="3:99" ht="12.75">
      <c r="C525" s="5"/>
      <c r="D525" s="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</row>
    <row r="526" spans="3:99" ht="12.75">
      <c r="C526" s="5"/>
      <c r="D526" s="5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</row>
    <row r="527" spans="3:99" ht="12.75">
      <c r="C527" s="5"/>
      <c r="D527" s="5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</row>
    <row r="528" spans="3:99" ht="12.75">
      <c r="C528" s="5"/>
      <c r="D528" s="5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</row>
    <row r="529" spans="3:99" ht="12.75">
      <c r="C529" s="5"/>
      <c r="D529" s="5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</row>
    <row r="530" spans="3:99" ht="12.75">
      <c r="C530" s="5"/>
      <c r="D530" s="5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</row>
    <row r="531" spans="3:99" ht="12.75">
      <c r="C531" s="5"/>
      <c r="D531" s="5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</row>
    <row r="532" spans="3:99" ht="12.75">
      <c r="C532" s="5"/>
      <c r="D532" s="5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</row>
    <row r="533" spans="3:99" ht="12.75">
      <c r="C533" s="5"/>
      <c r="D533" s="5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</row>
    <row r="534" spans="3:99" ht="12.75">
      <c r="C534" s="5"/>
      <c r="D534" s="5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</row>
    <row r="535" spans="3:99" ht="12.75">
      <c r="C535" s="5"/>
      <c r="D535" s="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</row>
    <row r="536" spans="3:99" ht="12.75">
      <c r="C536" s="5"/>
      <c r="D536" s="5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</row>
    <row r="537" spans="3:99" ht="12.75">
      <c r="C537" s="5"/>
      <c r="D537" s="5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</row>
    <row r="538" spans="3:99" ht="12.75">
      <c r="C538" s="5"/>
      <c r="D538" s="5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</row>
    <row r="539" spans="3:99" ht="12.75">
      <c r="C539" s="5"/>
      <c r="D539" s="5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</row>
    <row r="540" spans="3:99" ht="12.75">
      <c r="C540" s="5"/>
      <c r="D540" s="5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</row>
    <row r="541" spans="3:99" ht="12.75">
      <c r="C541" s="5"/>
      <c r="D541" s="5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</row>
    <row r="542" spans="3:99" ht="12.75">
      <c r="C542" s="5"/>
      <c r="D542" s="5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</row>
    <row r="543" spans="3:99" ht="12.75">
      <c r="C543" s="5"/>
      <c r="D543" s="5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</row>
    <row r="544" spans="3:99" ht="12.75">
      <c r="C544" s="5"/>
      <c r="D544" s="5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</row>
    <row r="545" spans="3:99" ht="12.75">
      <c r="C545" s="5"/>
      <c r="D545" s="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</row>
    <row r="546" spans="3:99" ht="12.75">
      <c r="C546" s="5"/>
      <c r="D546" s="5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</row>
    <row r="547" spans="3:99" ht="12.75">
      <c r="C547" s="5"/>
      <c r="D547" s="5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</row>
    <row r="548" spans="3:99" ht="12.75">
      <c r="C548" s="5"/>
      <c r="D548" s="5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</row>
    <row r="549" spans="3:99" ht="12.75">
      <c r="C549" s="5"/>
      <c r="D549" s="5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</row>
    <row r="550" spans="3:99" ht="12.75">
      <c r="C550" s="5"/>
      <c r="D550" s="5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</row>
    <row r="551" spans="3:99" ht="12.75">
      <c r="C551" s="5"/>
      <c r="D551" s="5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</row>
    <row r="552" spans="3:99" ht="12.75">
      <c r="C552" s="5"/>
      <c r="D552" s="5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</row>
    <row r="553" spans="3:99" ht="12.75">
      <c r="C553" s="5"/>
      <c r="D553" s="5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</row>
    <row r="554" spans="3:99" ht="12.75">
      <c r="C554" s="5"/>
      <c r="D554" s="5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</row>
    <row r="555" spans="3:99" ht="12.75">
      <c r="C555" s="5"/>
      <c r="D555" s="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</row>
    <row r="556" spans="3:99" ht="12.75">
      <c r="C556" s="5"/>
      <c r="D556" s="5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</row>
    <row r="557" spans="3:99" ht="12.75">
      <c r="C557" s="5"/>
      <c r="D557" s="5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</row>
    <row r="558" spans="3:99" ht="12.75">
      <c r="C558" s="5"/>
      <c r="D558" s="5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</row>
    <row r="559" spans="3:99" ht="12.75">
      <c r="C559" s="5"/>
      <c r="D559" s="5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</row>
    <row r="560" spans="3:99" ht="12.75">
      <c r="C560" s="5"/>
      <c r="D560" s="5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</row>
    <row r="561" spans="3:99" ht="12.75">
      <c r="C561" s="5"/>
      <c r="D561" s="5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</row>
    <row r="562" spans="3:99" ht="12.75">
      <c r="C562" s="5"/>
      <c r="D562" s="5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</row>
    <row r="563" spans="3:99" ht="12.75">
      <c r="C563" s="5"/>
      <c r="D563" s="5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</row>
    <row r="564" spans="3:99" ht="12.75">
      <c r="C564" s="5"/>
      <c r="D564" s="5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</row>
    <row r="565" spans="3:99" ht="12.75">
      <c r="C565" s="5"/>
      <c r="D565" s="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</row>
    <row r="566" spans="3:99" ht="12.75">
      <c r="C566" s="5"/>
      <c r="D566" s="5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</row>
    <row r="567" spans="3:99" ht="12.75">
      <c r="C567" s="5"/>
      <c r="D567" s="5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</row>
    <row r="568" spans="3:99" ht="12.75">
      <c r="C568" s="5"/>
      <c r="D568" s="5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</row>
    <row r="569" spans="3:99" ht="12.75">
      <c r="C569" s="5"/>
      <c r="D569" s="5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</row>
    <row r="570" spans="3:99" ht="12.75">
      <c r="C570" s="5"/>
      <c r="D570" s="5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</row>
    <row r="571" spans="3:99" ht="12.75">
      <c r="C571" s="5"/>
      <c r="D571" s="5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</row>
    <row r="572" spans="3:99" ht="12.75">
      <c r="C572" s="5"/>
      <c r="D572" s="5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</row>
    <row r="573" spans="3:99" ht="12.75">
      <c r="C573" s="5"/>
      <c r="D573" s="5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</row>
    <row r="574" spans="3:99" ht="12.75">
      <c r="C574" s="5"/>
      <c r="D574" s="5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</row>
    <row r="575" spans="3:99" ht="12.75">
      <c r="C575" s="5"/>
      <c r="D575" s="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</row>
    <row r="576" spans="3:99" ht="12.75">
      <c r="C576" s="5"/>
      <c r="D576" s="5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</row>
    <row r="577" spans="3:99" ht="12.75">
      <c r="C577" s="5"/>
      <c r="D577" s="5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</row>
    <row r="578" spans="3:99" ht="12.75">
      <c r="C578" s="5"/>
      <c r="D578" s="5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</row>
    <row r="579" spans="3:99" ht="12.75">
      <c r="C579" s="5"/>
      <c r="D579" s="5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</row>
    <row r="580" spans="3:99" ht="12.75">
      <c r="C580" s="5"/>
      <c r="D580" s="5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</row>
    <row r="581" spans="3:99" ht="12.75">
      <c r="C581" s="5"/>
      <c r="D581" s="5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</row>
    <row r="582" spans="3:99" ht="12.75">
      <c r="C582" s="5"/>
      <c r="D582" s="5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</row>
    <row r="583" spans="3:99" ht="12.75">
      <c r="C583" s="5"/>
      <c r="D583" s="5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</row>
    <row r="584" spans="3:99" ht="12.75">
      <c r="C584" s="5"/>
      <c r="D584" s="5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</row>
    <row r="585" spans="3:99" ht="12.75">
      <c r="C585" s="5"/>
      <c r="D585" s="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</row>
    <row r="586" spans="3:99" ht="12.75">
      <c r="C586" s="5"/>
      <c r="D586" s="5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</row>
    <row r="587" spans="3:99" ht="12.75">
      <c r="C587" s="5"/>
      <c r="D587" s="5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</row>
    <row r="588" spans="3:99" ht="12.75">
      <c r="C588" s="5"/>
      <c r="D588" s="5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</row>
    <row r="589" spans="3:99" ht="12.75">
      <c r="C589" s="5"/>
      <c r="D589" s="5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</row>
    <row r="590" spans="3:99" ht="12.75">
      <c r="C590" s="5"/>
      <c r="D590" s="5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</row>
    <row r="591" spans="3:99" ht="12.75">
      <c r="C591" s="5"/>
      <c r="D591" s="5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</row>
    <row r="592" spans="3:99" ht="12.75">
      <c r="C592" s="5"/>
      <c r="D592" s="5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</row>
    <row r="593" spans="3:99" ht="12.75">
      <c r="C593" s="5"/>
      <c r="D593" s="5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</row>
    <row r="594" spans="3:99" ht="12.75">
      <c r="C594" s="5"/>
      <c r="D594" s="5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</row>
    <row r="595" spans="3:99" ht="12.75">
      <c r="C595" s="5"/>
      <c r="D595" s="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</row>
    <row r="596" spans="3:99" ht="12.75">
      <c r="C596" s="5"/>
      <c r="D596" s="5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</row>
    <row r="597" spans="3:99" ht="12.75">
      <c r="C597" s="5"/>
      <c r="D597" s="5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</row>
    <row r="598" spans="3:99" ht="12.75">
      <c r="C598" s="5"/>
      <c r="D598" s="5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</row>
    <row r="599" spans="3:99" ht="12.75">
      <c r="C599" s="5"/>
      <c r="D599" s="5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</row>
    <row r="600" spans="3:99" ht="12.75">
      <c r="C600" s="5"/>
      <c r="D600" s="5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</row>
    <row r="601" spans="3:99" ht="12.75">
      <c r="C601" s="5"/>
      <c r="D601" s="5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</row>
    <row r="602" spans="3:99" ht="12.75">
      <c r="C602" s="5"/>
      <c r="D602" s="5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</row>
    <row r="603" spans="3:99" ht="12.75">
      <c r="C603" s="5"/>
      <c r="D603" s="5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</row>
    <row r="604" spans="3:99" ht="12.75">
      <c r="C604" s="5"/>
      <c r="D604" s="5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</row>
    <row r="605" spans="3:99" ht="12.75">
      <c r="C605" s="5"/>
      <c r="D605" s="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</row>
    <row r="606" spans="3:99" ht="12.75">
      <c r="C606" s="5"/>
      <c r="D606" s="5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</row>
    <row r="607" spans="3:99" ht="12.75">
      <c r="C607" s="5"/>
      <c r="D607" s="5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</row>
    <row r="608" spans="3:99" ht="12.75">
      <c r="C608" s="5"/>
      <c r="D608" s="5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</row>
    <row r="609" spans="3:99" ht="12.75">
      <c r="C609" s="5"/>
      <c r="D609" s="5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</row>
    <row r="610" spans="3:99" ht="12.75">
      <c r="C610" s="5"/>
      <c r="D610" s="5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</row>
    <row r="611" spans="3:99" ht="12.75">
      <c r="C611" s="5"/>
      <c r="D611" s="5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</row>
    <row r="612" spans="3:99" ht="12.75">
      <c r="C612" s="5"/>
      <c r="D612" s="5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</row>
    <row r="613" spans="3:99" ht="12.75">
      <c r="C613" s="5"/>
      <c r="D613" s="5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</row>
    <row r="614" spans="3:99" ht="12.75">
      <c r="C614" s="5"/>
      <c r="D614" s="5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</row>
    <row r="615" spans="3:99" ht="12.75">
      <c r="C615" s="5"/>
      <c r="D615" s="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</row>
    <row r="616" spans="3:99" ht="12.75">
      <c r="C616" s="5"/>
      <c r="D616" s="5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</row>
    <row r="617" spans="3:99" ht="12.75">
      <c r="C617" s="5"/>
      <c r="D617" s="5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</row>
    <row r="618" spans="3:99" ht="12.75">
      <c r="C618" s="5"/>
      <c r="D618" s="5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</row>
    <row r="619" spans="3:99" ht="12.75">
      <c r="C619" s="5"/>
      <c r="D619" s="5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</row>
    <row r="620" spans="3:99" ht="12.75">
      <c r="C620" s="5"/>
      <c r="D620" s="5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</row>
    <row r="621" spans="3:99" ht="12.75">
      <c r="C621" s="5"/>
      <c r="D621" s="5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</row>
    <row r="622" spans="3:99" ht="12.75">
      <c r="C622" s="5"/>
      <c r="D622" s="5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</row>
    <row r="623" spans="3:99" ht="12.75">
      <c r="C623" s="5"/>
      <c r="D623" s="5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</row>
    <row r="624" spans="3:99" ht="12.75">
      <c r="C624" s="5"/>
      <c r="D624" s="5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</row>
    <row r="625" spans="3:99" ht="12.75">
      <c r="C625" s="5"/>
      <c r="D625" s="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</row>
    <row r="626" spans="3:99" ht="12.75">
      <c r="C626" s="5"/>
      <c r="D626" s="5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</row>
    <row r="627" spans="3:99" ht="12.75">
      <c r="C627" s="5"/>
      <c r="D627" s="5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</row>
    <row r="628" spans="3:99" ht="12.75">
      <c r="C628" s="5"/>
      <c r="D628" s="5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</row>
    <row r="629" spans="3:99" ht="12.75">
      <c r="C629" s="5"/>
      <c r="D629" s="5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</row>
    <row r="630" spans="3:99" ht="12.75">
      <c r="C630" s="5"/>
      <c r="D630" s="5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</row>
    <row r="631" spans="3:99" ht="12.75">
      <c r="C631" s="5"/>
      <c r="D631" s="5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</row>
    <row r="632" spans="3:99" ht="12.75">
      <c r="C632" s="5"/>
      <c r="D632" s="5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</row>
    <row r="633" spans="3:99" ht="12.75">
      <c r="C633" s="5"/>
      <c r="D633" s="5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</row>
    <row r="634" spans="3:99" ht="12.75">
      <c r="C634" s="5"/>
      <c r="D634" s="5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</row>
    <row r="635" spans="3:99" ht="12.75">
      <c r="C635" s="5"/>
      <c r="D635" s="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</row>
    <row r="636" spans="3:99" ht="12.75">
      <c r="C636" s="5"/>
      <c r="D636" s="5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</row>
    <row r="637" spans="3:99" ht="12.75">
      <c r="C637" s="5"/>
      <c r="D637" s="5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</row>
    <row r="638" spans="3:99" ht="12.75">
      <c r="C638" s="5"/>
      <c r="D638" s="5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</row>
    <row r="639" spans="3:99" ht="12.75">
      <c r="C639" s="5"/>
      <c r="D639" s="5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</row>
    <row r="640" spans="3:99" ht="12.75">
      <c r="C640" s="5"/>
      <c r="D640" s="5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</row>
    <row r="641" spans="3:99" ht="12.75">
      <c r="C641" s="5"/>
      <c r="D641" s="5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</row>
    <row r="642" spans="3:99" ht="12.75">
      <c r="C642" s="5"/>
      <c r="D642" s="5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</row>
    <row r="643" spans="3:99" ht="12.75">
      <c r="C643" s="5"/>
      <c r="D643" s="5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</row>
    <row r="644" spans="3:99" ht="12.75">
      <c r="C644" s="5"/>
      <c r="D644" s="5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</row>
    <row r="645" spans="3:99" ht="12.75">
      <c r="C645" s="5"/>
      <c r="D645" s="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</row>
    <row r="646" spans="3:99" ht="12.75">
      <c r="C646" s="5"/>
      <c r="D646" s="5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</row>
    <row r="647" spans="3:99" ht="12.75">
      <c r="C647" s="5"/>
      <c r="D647" s="5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</row>
    <row r="648" spans="3:99" ht="12.75">
      <c r="C648" s="5"/>
      <c r="D648" s="5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</row>
    <row r="649" spans="3:99" ht="12.75">
      <c r="C649" s="5"/>
      <c r="D649" s="5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</row>
    <row r="650" spans="3:99" ht="12.75">
      <c r="C650" s="5"/>
      <c r="D650" s="5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</row>
    <row r="651" spans="3:99" ht="12.75">
      <c r="C651" s="5"/>
      <c r="D651" s="5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</row>
    <row r="652" spans="3:99" ht="12.75">
      <c r="C652" s="5"/>
      <c r="D652" s="5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</row>
    <row r="653" spans="9:99" ht="12.75"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</row>
    <row r="654" spans="9:99" ht="12.75"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</row>
    <row r="655" spans="9:99" ht="12.75"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</row>
    <row r="656" spans="9:99" ht="12.75"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</row>
    <row r="657" spans="9:99" ht="12.75"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</row>
    <row r="658" spans="9:99" ht="12.75"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</row>
    <row r="659" spans="9:99" ht="12.75"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</row>
    <row r="660" spans="9:99" ht="12.75"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</row>
    <row r="661" spans="9:99" ht="12.75"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</row>
    <row r="662" spans="9:99" ht="12.75"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</row>
    <row r="663" spans="9:99" ht="12.75"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</row>
    <row r="664" spans="9:99" ht="12.75"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</row>
    <row r="665" spans="9:99" ht="12.75"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</row>
    <row r="666" spans="9:99" ht="12.75"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</row>
    <row r="667" spans="9:99" ht="12.75"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</row>
    <row r="668" spans="9:99" ht="12.75"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</row>
    <row r="669" spans="9:99" ht="12.75"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</row>
    <row r="670" spans="9:99" ht="12.75"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</row>
    <row r="671" spans="9:99" ht="12.75"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</row>
    <row r="672" spans="9:99" ht="12.75"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</row>
    <row r="673" spans="9:99" ht="12.75"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</row>
    <row r="674" spans="9:99" ht="12.75"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</row>
    <row r="675" spans="9:99" ht="12.75"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</row>
    <row r="676" spans="9:99" ht="12.75"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</row>
    <row r="677" spans="9:99" ht="12.75"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</row>
    <row r="678" spans="9:99" ht="12.75"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</row>
    <row r="679" spans="9:99" ht="12.75"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</row>
    <row r="680" spans="9:99" ht="12.75"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</row>
    <row r="681" spans="9:99" ht="12.75"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</row>
    <row r="682" spans="9:99" ht="12.75"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</row>
    <row r="683" spans="9:99" ht="12.75"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</row>
    <row r="684" spans="9:99" ht="12.75"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</row>
    <row r="685" spans="9:99" ht="12.75"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</row>
    <row r="686" spans="9:99" ht="12.75"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</row>
    <row r="687" spans="9:99" ht="12.75"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</row>
    <row r="688" spans="9:99" ht="12.75"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</row>
    <row r="689" spans="9:99" ht="12.75"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</row>
    <row r="690" spans="9:99" ht="12.75"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</row>
    <row r="691" spans="9:99" ht="12.75"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</row>
    <row r="692" spans="9:99" ht="12.75"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</row>
    <row r="693" spans="9:99" ht="12.75"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</row>
    <row r="694" spans="9:99" ht="12.75"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</row>
    <row r="695" spans="9:99" ht="12.75"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</row>
    <row r="696" spans="9:99" ht="12.75"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</row>
    <row r="697" spans="9:99" ht="12.75"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</row>
    <row r="698" spans="9:99" ht="12.75"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</row>
    <row r="699" spans="9:99" ht="12.75"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</row>
    <row r="700" spans="9:99" ht="12.75"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</row>
    <row r="701" spans="9:99" ht="12.75"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</row>
    <row r="702" spans="9:99" ht="12.75"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</row>
    <row r="703" spans="9:99" ht="12.75"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</row>
    <row r="704" spans="9:99" ht="12.75"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</row>
    <row r="705" spans="9:99" ht="12.75"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</row>
    <row r="706" spans="9:99" ht="12.75"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</row>
    <row r="707" spans="9:99" ht="12.75"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</row>
    <row r="708" spans="9:99" ht="12.75"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</row>
    <row r="709" spans="9:99" ht="12.75"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</row>
    <row r="710" spans="9:99" ht="12.75"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</row>
    <row r="711" spans="9:99" ht="12.75"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</row>
    <row r="712" spans="9:99" ht="12.75"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</row>
    <row r="713" spans="9:99" ht="12.75"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</row>
    <row r="714" spans="9:99" ht="12.75"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</row>
    <row r="715" spans="9:99" ht="12.75"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</row>
    <row r="716" spans="9:99" ht="12.75"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</row>
    <row r="717" spans="9:99" ht="12.75"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</row>
    <row r="718" spans="9:99" ht="12.75"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</row>
    <row r="719" spans="9:99" ht="12.75"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</row>
    <row r="720" spans="9:99" ht="12.75"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</row>
    <row r="721" spans="9:99" ht="12.75"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</row>
    <row r="722" spans="9:99" ht="12.75"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</row>
    <row r="723" spans="9:99" ht="12.75"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</row>
    <row r="724" spans="9:99" ht="12.75"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</row>
    <row r="725" spans="9:99" ht="12.75"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</row>
    <row r="726" spans="9:99" ht="12.75"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</row>
    <row r="727" spans="9:99" ht="12.75"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</row>
    <row r="728" spans="9:99" ht="12.75"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</row>
    <row r="729" spans="9:99" ht="12.75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</row>
    <row r="730" spans="9:99" ht="12.75"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</row>
    <row r="731" spans="9:99" ht="12.75"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</row>
    <row r="732" spans="9:99" ht="12.75"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</row>
    <row r="733" spans="9:99" ht="12.75"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</row>
    <row r="734" spans="9:99" ht="12.75"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</row>
    <row r="735" spans="9:99" ht="12.75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</row>
    <row r="736" spans="9:99" ht="12.75"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</row>
    <row r="737" spans="9:99" ht="12.75"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</row>
    <row r="738" spans="9:99" ht="12.75"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</row>
    <row r="739" spans="9:99" ht="12.75"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</row>
    <row r="740" spans="9:99" ht="12.75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</row>
    <row r="741" spans="9:99" ht="12.75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</row>
    <row r="742" spans="9:99" ht="12.75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</row>
    <row r="743" spans="9:99" ht="12.75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</row>
    <row r="744" spans="9:99" ht="12.75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</row>
    <row r="745" spans="9:99" ht="12.75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</row>
    <row r="746" spans="9:99" ht="12.75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</row>
    <row r="747" spans="9:99" ht="12.75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</row>
    <row r="748" spans="9:99" ht="12.75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</row>
    <row r="749" spans="9:99" ht="12.75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</row>
    <row r="750" spans="9:99" ht="12.75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</row>
    <row r="751" spans="9:99" ht="12.75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</row>
    <row r="752" spans="9:99" ht="12.75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</row>
    <row r="753" spans="9:99" ht="12.75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</row>
    <row r="754" spans="9:99" ht="12.75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</row>
    <row r="755" spans="9:99" ht="12.75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</row>
    <row r="756" spans="9:99" ht="12.75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</row>
    <row r="757" spans="9:99" ht="12.75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</row>
    <row r="758" spans="9:99" ht="12.75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</row>
    <row r="759" spans="9:99" ht="12.75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</row>
    <row r="760" spans="9:99" ht="12.75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</row>
    <row r="761" spans="9:99" ht="12.75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</row>
    <row r="762" spans="9:99" ht="12.75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</row>
    <row r="763" spans="9:99" ht="12.75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</row>
    <row r="764" spans="9:99" ht="12.75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</row>
    <row r="765" spans="9:99" ht="12.75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</row>
    <row r="766" spans="9:99" ht="12.75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</row>
    <row r="767" spans="9:99" ht="12.75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</row>
    <row r="768" spans="9:99" ht="12.75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</row>
    <row r="769" spans="9:99" ht="12.75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</row>
    <row r="770" spans="9:99" ht="12.75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</row>
    <row r="771" spans="9:99" ht="12.75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</row>
    <row r="772" spans="9:99" ht="12.75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</row>
    <row r="773" spans="9:99" ht="12.75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</row>
    <row r="774" spans="9:99" ht="12.75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</row>
    <row r="775" spans="9:99" ht="12.75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</row>
    <row r="776" spans="9:99" ht="12.75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</row>
    <row r="777" spans="9:99" ht="12.75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</row>
    <row r="778" spans="9:99" ht="12.75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</row>
    <row r="779" spans="9:99" ht="12.75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</row>
    <row r="780" spans="9:99" ht="12.75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</row>
    <row r="781" spans="9:99" ht="12.75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AO578"/>
  <sheetViews>
    <sheetView showGridLines="0" defaultGridColor="0" colorId="12" workbookViewId="0" topLeftCell="A1">
      <pane xSplit="1" ySplit="1" topLeftCell="B2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2" sqref="B2"/>
    </sheetView>
  </sheetViews>
  <sheetFormatPr defaultColWidth="9.140625" defaultRowHeight="12.75"/>
  <cols>
    <col min="1" max="1" width="14.57421875" style="1" customWidth="1"/>
    <col min="2" max="2" width="9.8515625" style="5" customWidth="1"/>
    <col min="3" max="7" width="11.140625" style="2" customWidth="1"/>
    <col min="8" max="9" width="13.57421875" style="2" customWidth="1"/>
    <col min="10" max="11" width="9.140625" style="2" hidden="1" customWidth="1"/>
    <col min="12" max="12" width="8.7109375" style="2" hidden="1" customWidth="1"/>
    <col min="13" max="27" width="9.140625" style="2" hidden="1" customWidth="1"/>
    <col min="28" max="16384" width="9.140625" style="2" customWidth="1"/>
  </cols>
  <sheetData>
    <row r="1" spans="1:41" s="32" customFormat="1" ht="24" thickBot="1">
      <c r="A1" s="78"/>
      <c r="B1" s="113" t="s">
        <v>77</v>
      </c>
      <c r="C1" s="33"/>
      <c r="D1" s="113"/>
      <c r="E1" s="113"/>
      <c r="F1" s="113"/>
      <c r="G1" s="113"/>
      <c r="H1" s="113"/>
      <c r="I1" s="113"/>
      <c r="J1" s="113"/>
      <c r="K1" s="113" t="s">
        <v>76</v>
      </c>
      <c r="L1" s="33"/>
      <c r="M1" s="113"/>
      <c r="N1" s="113"/>
      <c r="O1" s="113"/>
      <c r="P1" s="113"/>
      <c r="Q1" s="113"/>
      <c r="R1" s="113" t="s">
        <v>77</v>
      </c>
      <c r="S1" s="33"/>
      <c r="T1" s="113"/>
      <c r="U1" s="113"/>
      <c r="V1" s="113"/>
      <c r="W1" s="113"/>
      <c r="X1" s="113"/>
      <c r="Y1" s="78"/>
      <c r="Z1" s="113"/>
      <c r="AA1" s="113"/>
      <c r="AB1" s="113"/>
      <c r="AC1" s="113"/>
      <c r="AD1" s="113"/>
      <c r="AE1" s="113"/>
      <c r="AF1" s="113"/>
      <c r="AG1" s="78"/>
      <c r="AH1" s="113"/>
      <c r="AI1" s="113"/>
      <c r="AJ1" s="113"/>
      <c r="AK1" s="113"/>
      <c r="AL1" s="113"/>
      <c r="AM1" s="113"/>
      <c r="AN1" s="113"/>
      <c r="AO1" s="113"/>
    </row>
    <row r="2" spans="2:11" ht="12.75">
      <c r="B2" s="2"/>
      <c r="J2" s="1"/>
      <c r="K2" s="5"/>
    </row>
    <row r="3" spans="1:25" ht="31.5" customHeight="1">
      <c r="A3" s="100" t="s">
        <v>93</v>
      </c>
      <c r="B3" s="98"/>
      <c r="C3" s="36" t="s">
        <v>58</v>
      </c>
      <c r="D3" s="71" t="s">
        <v>97</v>
      </c>
      <c r="E3" s="36" t="s">
        <v>4</v>
      </c>
      <c r="F3" s="36" t="s">
        <v>5</v>
      </c>
      <c r="G3" s="36" t="s">
        <v>62</v>
      </c>
      <c r="H3" s="70" t="s">
        <v>90</v>
      </c>
      <c r="I3" s="70" t="s">
        <v>91</v>
      </c>
      <c r="J3" s="46"/>
      <c r="K3" s="43"/>
      <c r="L3" s="36" t="s">
        <v>58</v>
      </c>
      <c r="M3" s="71" t="s">
        <v>97</v>
      </c>
      <c r="N3" s="36" t="s">
        <v>4</v>
      </c>
      <c r="O3" s="36" t="s">
        <v>5</v>
      </c>
      <c r="P3" s="36" t="s">
        <v>62</v>
      </c>
      <c r="Q3" s="70" t="s">
        <v>90</v>
      </c>
      <c r="R3" s="98"/>
      <c r="S3" s="36" t="s">
        <v>58</v>
      </c>
      <c r="T3" s="71" t="s">
        <v>97</v>
      </c>
      <c r="U3" s="36" t="s">
        <v>4</v>
      </c>
      <c r="V3" s="36" t="s">
        <v>5</v>
      </c>
      <c r="W3" s="36" t="s">
        <v>62</v>
      </c>
      <c r="X3" s="70" t="s">
        <v>90</v>
      </c>
      <c r="Y3" s="38"/>
    </row>
    <row r="4" spans="1:25" ht="12.75">
      <c r="A4" s="114"/>
      <c r="B4" s="98"/>
      <c r="C4" s="95">
        <f>CORREL(B169:B287,B170:B288)</f>
        <v>0.7087314537002036</v>
      </c>
      <c r="D4" s="95">
        <v>0.532834455411467</v>
      </c>
      <c r="E4" s="95">
        <f>+C4</f>
        <v>0.7087314537002036</v>
      </c>
      <c r="F4" s="95">
        <f aca="true" t="shared" si="0" ref="F4:F9">+$C$4+I4</f>
        <v>0.7837314537002036</v>
      </c>
      <c r="G4" s="95">
        <v>1</v>
      </c>
      <c r="H4" s="87">
        <f>+B19+2*B23</f>
        <v>1.7914289056484218</v>
      </c>
      <c r="I4" s="99">
        <v>0.075</v>
      </c>
      <c r="J4" s="48"/>
      <c r="K4" s="48"/>
      <c r="L4" s="95" t="e">
        <f>CORREL(K61:K287,K62:K288)</f>
        <v>#DIV/0!</v>
      </c>
      <c r="M4" s="95">
        <v>0.5684109321039853</v>
      </c>
      <c r="N4" s="95" t="e">
        <f>+L4</f>
        <v>#DIV/0!</v>
      </c>
      <c r="O4" s="95">
        <f aca="true" t="shared" si="1" ref="O4:O9">+$C$4+R4</f>
        <v>0.7087314537002036</v>
      </c>
      <c r="P4" s="95">
        <v>1</v>
      </c>
      <c r="Q4" s="87">
        <f>+K18+2*K22</f>
        <v>0</v>
      </c>
      <c r="R4" s="98"/>
      <c r="S4" s="95" t="e">
        <f>CORREL(R169:R287,R170:R288)</f>
        <v>#DIV/0!</v>
      </c>
      <c r="T4" s="95">
        <v>0.532834455411467</v>
      </c>
      <c r="U4" s="95" t="e">
        <f>+S4</f>
        <v>#DIV/0!</v>
      </c>
      <c r="V4" s="95">
        <f aca="true" t="shared" si="2" ref="V4:V9">+$C$4+Y4</f>
        <v>0.7837314537002036</v>
      </c>
      <c r="W4" s="95">
        <v>1</v>
      </c>
      <c r="X4" s="87">
        <f>+R19+2*R23</f>
        <v>0</v>
      </c>
      <c r="Y4" s="96">
        <v>0.075</v>
      </c>
    </row>
    <row r="5" spans="1:25" ht="12.75">
      <c r="A5" s="114"/>
      <c r="B5" s="98"/>
      <c r="C5" s="38"/>
      <c r="D5" s="95">
        <v>0.3161976526421895</v>
      </c>
      <c r="E5" s="97">
        <v>4.354388865162079</v>
      </c>
      <c r="F5" s="95">
        <f t="shared" si="0"/>
        <v>0.6837314537002036</v>
      </c>
      <c r="G5" s="51"/>
      <c r="H5" s="87">
        <f>+B19+B23</f>
        <v>1.3983316194908775</v>
      </c>
      <c r="I5" s="99">
        <v>-0.025</v>
      </c>
      <c r="J5" s="48"/>
      <c r="K5" s="48"/>
      <c r="L5" s="38"/>
      <c r="M5" s="95">
        <v>0.2579682271893826</v>
      </c>
      <c r="N5" s="97">
        <v>2</v>
      </c>
      <c r="O5" s="95">
        <f t="shared" si="1"/>
        <v>0.7087314537002036</v>
      </c>
      <c r="P5" s="51"/>
      <c r="Q5" s="87">
        <f>+K18+K22</f>
        <v>0</v>
      </c>
      <c r="R5" s="98"/>
      <c r="S5" s="38"/>
      <c r="T5" s="95">
        <v>0.3161976526421895</v>
      </c>
      <c r="U5" s="97">
        <v>4.354388865162079</v>
      </c>
      <c r="V5" s="95">
        <f t="shared" si="2"/>
        <v>0.6837314537002036</v>
      </c>
      <c r="W5" s="51"/>
      <c r="X5" s="87">
        <f>+R19+R23</f>
        <v>0</v>
      </c>
      <c r="Y5" s="96">
        <v>-0.025</v>
      </c>
    </row>
    <row r="6" spans="1:25" ht="12.75">
      <c r="A6" s="114"/>
      <c r="B6" s="75"/>
      <c r="C6" s="38"/>
      <c r="D6" s="40"/>
      <c r="E6" s="95">
        <f>(E5*(STDEV(C169:C288)))/STDEV(J169:J288)</f>
        <v>1.044451257579246</v>
      </c>
      <c r="F6" s="95">
        <f t="shared" si="0"/>
        <v>0.5837314537002036</v>
      </c>
      <c r="G6" s="52"/>
      <c r="H6" s="87">
        <f>+B19</f>
        <v>1.0052343333333331</v>
      </c>
      <c r="I6" s="99">
        <v>-0.125</v>
      </c>
      <c r="J6" s="48"/>
      <c r="K6" s="48"/>
      <c r="L6" s="38"/>
      <c r="M6" s="99">
        <v>0.2667040210134048</v>
      </c>
      <c r="N6" s="95" t="e">
        <f>(N5*(STDEV(L169:L288)))/STDEV(S61:S288)</f>
        <v>#DIV/0!</v>
      </c>
      <c r="O6" s="95">
        <f t="shared" si="1"/>
        <v>0.7087314537002036</v>
      </c>
      <c r="P6" s="52"/>
      <c r="Q6" s="87">
        <f>+K18</f>
        <v>0</v>
      </c>
      <c r="R6" s="75"/>
      <c r="S6" s="38"/>
      <c r="T6" s="40"/>
      <c r="U6" s="95" t="e">
        <f>(U5*(STDEV(S169:S288)))/STDEV(Z169:Z288)</f>
        <v>#DIV/0!</v>
      </c>
      <c r="V6" s="95">
        <f t="shared" si="2"/>
        <v>0.5837314537002036</v>
      </c>
      <c r="W6" s="52"/>
      <c r="X6" s="87">
        <f>+R19</f>
        <v>0</v>
      </c>
      <c r="Y6" s="95">
        <v>-0.125</v>
      </c>
    </row>
    <row r="7" spans="2:25" ht="12.75">
      <c r="B7" s="98"/>
      <c r="C7" s="38"/>
      <c r="D7" s="40"/>
      <c r="E7" s="38"/>
      <c r="F7" s="95">
        <f t="shared" si="0"/>
        <v>0.6337314537002037</v>
      </c>
      <c r="G7" s="38"/>
      <c r="H7" s="87">
        <f>+B19-B23</f>
        <v>0.6121370471757888</v>
      </c>
      <c r="I7" s="99">
        <v>-0.075</v>
      </c>
      <c r="J7" s="48"/>
      <c r="K7" s="48"/>
      <c r="L7" s="38"/>
      <c r="M7" s="40"/>
      <c r="N7" s="38"/>
      <c r="O7" s="95">
        <f t="shared" si="1"/>
        <v>0.7087314537002036</v>
      </c>
      <c r="P7" s="38"/>
      <c r="Q7" s="87">
        <f>+K18-K22</f>
        <v>0</v>
      </c>
      <c r="R7" s="98"/>
      <c r="S7" s="38"/>
      <c r="T7" s="40"/>
      <c r="U7" s="38"/>
      <c r="V7" s="95">
        <f t="shared" si="2"/>
        <v>0.6337314537002037</v>
      </c>
      <c r="W7" s="38"/>
      <c r="X7" s="87">
        <f>+R19-R23</f>
        <v>0</v>
      </c>
      <c r="Y7" s="96">
        <v>-0.075</v>
      </c>
    </row>
    <row r="8" spans="2:25" ht="12.75">
      <c r="B8" s="98"/>
      <c r="C8" s="38"/>
      <c r="D8" s="40"/>
      <c r="E8" s="38"/>
      <c r="F8" s="95">
        <f t="shared" si="0"/>
        <v>0.7337314537002037</v>
      </c>
      <c r="G8" s="38"/>
      <c r="H8" s="87">
        <f>+B19-2*B23</f>
        <v>0.21903976101824452</v>
      </c>
      <c r="I8" s="99">
        <v>0.025</v>
      </c>
      <c r="J8" s="98"/>
      <c r="K8" s="98"/>
      <c r="L8" s="38"/>
      <c r="M8" s="40"/>
      <c r="N8" s="38"/>
      <c r="O8" s="95">
        <f t="shared" si="1"/>
        <v>0.7087314537002036</v>
      </c>
      <c r="P8" s="38"/>
      <c r="Q8" s="87">
        <f>+K18-2*K22</f>
        <v>0</v>
      </c>
      <c r="R8" s="98"/>
      <c r="S8" s="38"/>
      <c r="T8" s="40"/>
      <c r="U8" s="38"/>
      <c r="V8" s="95">
        <f t="shared" si="2"/>
        <v>0.7337314537002037</v>
      </c>
      <c r="W8" s="38"/>
      <c r="X8" s="87">
        <f>+R19-2*R23</f>
        <v>0</v>
      </c>
      <c r="Y8" s="96">
        <v>0.025</v>
      </c>
    </row>
    <row r="9" spans="2:25" ht="12.75">
      <c r="B9" s="98"/>
      <c r="C9" s="38"/>
      <c r="D9" s="40"/>
      <c r="E9" s="38"/>
      <c r="F9" s="95">
        <f t="shared" si="0"/>
        <v>0.8337314537002036</v>
      </c>
      <c r="G9" s="38"/>
      <c r="H9" s="38"/>
      <c r="I9" s="99">
        <v>0.125</v>
      </c>
      <c r="J9" s="48"/>
      <c r="K9" s="48"/>
      <c r="L9" s="38"/>
      <c r="M9" s="40"/>
      <c r="N9" s="38"/>
      <c r="O9" s="95">
        <f t="shared" si="1"/>
        <v>0.7087314537002036</v>
      </c>
      <c r="P9" s="38"/>
      <c r="Q9" s="38"/>
      <c r="R9" s="98"/>
      <c r="S9" s="38"/>
      <c r="T9" s="40"/>
      <c r="U9" s="38"/>
      <c r="V9" s="95">
        <f t="shared" si="2"/>
        <v>0.8337314537002036</v>
      </c>
      <c r="W9" s="38"/>
      <c r="X9" s="38"/>
      <c r="Y9" s="96">
        <v>0.125</v>
      </c>
    </row>
    <row r="10" spans="2:18" ht="21.75" customHeight="1" thickBot="1">
      <c r="B10" s="11"/>
      <c r="C10" s="33" t="s">
        <v>61</v>
      </c>
      <c r="D10" s="34"/>
      <c r="E10" s="34"/>
      <c r="F10" s="34"/>
      <c r="G10" s="34"/>
      <c r="J10"/>
      <c r="K10"/>
      <c r="L10"/>
      <c r="M10"/>
      <c r="N10"/>
      <c r="O10"/>
      <c r="P10"/>
      <c r="R10" s="3"/>
    </row>
    <row r="11" spans="1:18" ht="25.5">
      <c r="A11" s="7" t="s">
        <v>9</v>
      </c>
      <c r="B11" s="41" t="s">
        <v>15</v>
      </c>
      <c r="C11" s="42" t="str">
        <f>+C3</f>
        <v>Lag 1 Method</v>
      </c>
      <c r="D11" s="42" t="str">
        <f>+D3</f>
        <v>Lags 1-n Method</v>
      </c>
      <c r="E11" s="42" t="str">
        <f>+E3</f>
        <v>Equity Volatility</v>
      </c>
      <c r="F11" s="42" t="str">
        <f>+F3</f>
        <v>Market States</v>
      </c>
      <c r="G11" s="42" t="str">
        <f>+G3</f>
        <v>Time Varying</v>
      </c>
      <c r="H11" s="2"/>
      <c r="R11" s="101"/>
    </row>
    <row r="12" spans="2:7" ht="12.75">
      <c r="B12" s="43"/>
      <c r="C12" s="38"/>
      <c r="D12" s="38"/>
      <c r="E12" s="38"/>
      <c r="F12" s="38"/>
      <c r="G12" s="38"/>
    </row>
    <row r="13" spans="1:7" ht="12.75">
      <c r="A13" s="104" t="s">
        <v>98</v>
      </c>
      <c r="B13" s="81"/>
      <c r="C13" s="45"/>
      <c r="D13" s="45"/>
      <c r="E13" s="45"/>
      <c r="F13" s="45"/>
      <c r="G13" s="45"/>
    </row>
    <row r="14" spans="1:8" ht="12.75">
      <c r="A14" s="105" t="s">
        <v>19</v>
      </c>
      <c r="B14" s="43">
        <f>RATE(18,,-B296,B524)*100</f>
        <v>11.956785301557675</v>
      </c>
      <c r="C14" s="43">
        <f>RATE(18,,-C296,C524)*100</f>
        <v>12.17542758166855</v>
      </c>
      <c r="D14" s="43">
        <f>RATE(18,,-D296,D524)*100</f>
        <v>12.400757133630313</v>
      </c>
      <c r="E14" s="43">
        <f>RATE(18,,-E296,E524)*100</f>
        <v>11.637596050998516</v>
      </c>
      <c r="F14" s="43">
        <f>RATE(18,,-F296,F524)*100</f>
        <v>12.688045353363753</v>
      </c>
      <c r="G14" s="43" t="s">
        <v>21</v>
      </c>
      <c r="H14" s="2"/>
    </row>
    <row r="15" spans="1:8" ht="12.75">
      <c r="A15" s="91" t="s">
        <v>22</v>
      </c>
      <c r="B15" s="43">
        <f aca="true" t="shared" si="3" ref="B15:G15">RATE(10,,-B404,B524)*100</f>
        <v>12.742468692796113</v>
      </c>
      <c r="C15" s="43">
        <f t="shared" si="3"/>
        <v>13.360526894807562</v>
      </c>
      <c r="D15" s="43">
        <f t="shared" si="3"/>
        <v>14.504447615129953</v>
      </c>
      <c r="E15" s="43">
        <f t="shared" si="3"/>
        <v>12.762506411494378</v>
      </c>
      <c r="F15" s="43">
        <f t="shared" si="3"/>
        <v>13.609189050327814</v>
      </c>
      <c r="G15" s="43">
        <f t="shared" si="3"/>
        <v>13.150949136177529</v>
      </c>
      <c r="H15" s="2"/>
    </row>
    <row r="16" spans="1:7" ht="12.75">
      <c r="A16" s="91"/>
      <c r="B16" s="43"/>
      <c r="C16" s="43"/>
      <c r="D16" s="43"/>
      <c r="E16" s="43"/>
      <c r="F16" s="43"/>
      <c r="G16" s="43"/>
    </row>
    <row r="17" spans="1:7" ht="12.75">
      <c r="A17" s="93" t="s">
        <v>72</v>
      </c>
      <c r="B17" s="81"/>
      <c r="C17" s="81"/>
      <c r="D17" s="81"/>
      <c r="E17" s="81"/>
      <c r="F17" s="81"/>
      <c r="G17" s="81"/>
    </row>
    <row r="18" spans="1:8" ht="12.75">
      <c r="A18" s="105" t="s">
        <v>19</v>
      </c>
      <c r="B18" s="44">
        <f>AVERAGE(B61:B288)</f>
        <v>0.8986091666666659</v>
      </c>
      <c r="C18" s="44">
        <f>AVERAGE(C$64:C$118)</f>
        <v>0.8523871700606056</v>
      </c>
      <c r="D18" s="44">
        <f>AVERAGE(D$64:D$118)</f>
        <v>0.7889229810067439</v>
      </c>
      <c r="E18" s="44">
        <f>AVERAGE(E$64:E$118)</f>
        <v>0.8161100519292851</v>
      </c>
      <c r="F18" s="44">
        <f>AVERAGE(F$64:F$118)</f>
        <v>0.979121705546516</v>
      </c>
      <c r="G18" s="49" t="s">
        <v>21</v>
      </c>
      <c r="H18" s="2"/>
    </row>
    <row r="19" spans="1:8" ht="12.75">
      <c r="A19" s="91" t="s">
        <v>22</v>
      </c>
      <c r="B19" s="44">
        <f aca="true" t="shared" si="4" ref="B19:G19">AVERAGE(B169:B288)</f>
        <v>1.0052343333333331</v>
      </c>
      <c r="C19" s="44">
        <f t="shared" si="4"/>
        <v>1.0549261207589953</v>
      </c>
      <c r="D19" s="44">
        <f t="shared" si="4"/>
        <v>1.1502294421767874</v>
      </c>
      <c r="E19" s="44">
        <f t="shared" si="4"/>
        <v>1.0100290588993375</v>
      </c>
      <c r="F19" s="44">
        <f t="shared" si="4"/>
        <v>1.0729574661005998</v>
      </c>
      <c r="G19" s="44">
        <f t="shared" si="4"/>
        <v>1.040405223659903</v>
      </c>
      <c r="H19" s="2"/>
    </row>
    <row r="20" spans="1:7" ht="12.75">
      <c r="A20" s="91"/>
      <c r="B20" s="43"/>
      <c r="C20" s="43"/>
      <c r="D20" s="43"/>
      <c r="E20" s="43"/>
      <c r="F20" s="43"/>
      <c r="G20" s="43"/>
    </row>
    <row r="21" spans="1:7" ht="12.75">
      <c r="A21" s="93" t="s">
        <v>73</v>
      </c>
      <c r="B21" s="81"/>
      <c r="C21" s="81"/>
      <c r="D21" s="81"/>
      <c r="E21" s="81"/>
      <c r="F21" s="81"/>
      <c r="G21" s="81"/>
    </row>
    <row r="22" spans="1:8" ht="12.75">
      <c r="A22" s="105" t="s">
        <v>19</v>
      </c>
      <c r="B22" s="44">
        <f>STDEV(B61:B288)</f>
        <v>0.7761635666156934</v>
      </c>
      <c r="C22" s="44">
        <f>STDEV(C61:C288)</f>
        <v>1.3735589869372258</v>
      </c>
      <c r="D22" s="44">
        <f>STDEV(D61:D288)</f>
        <v>2.4213744732088074</v>
      </c>
      <c r="E22" s="43">
        <f>STDEV(E61:E288)</f>
        <v>1.3150789223071118</v>
      </c>
      <c r="F22" s="44">
        <f>STDEV(F61:F288)</f>
        <v>1.7115036143004323</v>
      </c>
      <c r="G22" s="44" t="s">
        <v>21</v>
      </c>
      <c r="H22" s="75"/>
    </row>
    <row r="23" spans="1:8" ht="12.75">
      <c r="A23" s="91" t="s">
        <v>22</v>
      </c>
      <c r="B23" s="44">
        <f aca="true" t="shared" si="5" ref="B23:G23">STDEV(B169:B288)</f>
        <v>0.3930972861575443</v>
      </c>
      <c r="C23" s="44">
        <f t="shared" si="5"/>
        <v>0.9509685710652086</v>
      </c>
      <c r="D23" s="44">
        <f t="shared" si="5"/>
        <v>1.763840906040788</v>
      </c>
      <c r="E23" s="43">
        <f t="shared" si="5"/>
        <v>0.9104958840006527</v>
      </c>
      <c r="F23" s="44">
        <f t="shared" si="5"/>
        <v>0.9072768971858547</v>
      </c>
      <c r="G23" s="44">
        <f t="shared" si="5"/>
        <v>1.0559807505763577</v>
      </c>
      <c r="H23" s="2"/>
    </row>
    <row r="24" spans="1:7" ht="12.75">
      <c r="A24" s="91"/>
      <c r="B24" s="43"/>
      <c r="C24" s="43"/>
      <c r="D24" s="43"/>
      <c r="E24" s="43"/>
      <c r="F24" s="43"/>
      <c r="G24" s="43"/>
    </row>
    <row r="25" spans="1:7" ht="12.75">
      <c r="A25" s="93" t="s">
        <v>94</v>
      </c>
      <c r="B25" s="81"/>
      <c r="C25" s="81"/>
      <c r="D25" s="81"/>
      <c r="E25" s="81"/>
      <c r="F25" s="81"/>
      <c r="G25" s="81"/>
    </row>
    <row r="26" spans="1:8" ht="12.75">
      <c r="A26" s="105" t="s">
        <v>19</v>
      </c>
      <c r="B26" s="44">
        <f>+B22/$B22</f>
        <v>1</v>
      </c>
      <c r="C26" s="44">
        <f>+C22/$B22</f>
        <v>1.7696772252868762</v>
      </c>
      <c r="D26" s="44">
        <f>+D22/$B22</f>
        <v>3.119670359904586</v>
      </c>
      <c r="E26" s="44">
        <f>+E22/$B22</f>
        <v>1.694332198612789</v>
      </c>
      <c r="F26" s="44">
        <f>+F22/$B22</f>
        <v>2.2050811039264606</v>
      </c>
      <c r="G26" s="44" t="s">
        <v>21</v>
      </c>
      <c r="H26" s="2"/>
    </row>
    <row r="27" spans="1:8" ht="12.75">
      <c r="A27" s="91" t="s">
        <v>22</v>
      </c>
      <c r="B27" s="44">
        <f aca="true" t="shared" si="6" ref="B27:G27">+B23/$B23</f>
        <v>1</v>
      </c>
      <c r="C27" s="44">
        <f t="shared" si="6"/>
        <v>2.4191684973477083</v>
      </c>
      <c r="D27" s="44">
        <f t="shared" si="6"/>
        <v>4.487034045139354</v>
      </c>
      <c r="E27" s="44">
        <f t="shared" si="6"/>
        <v>2.316210047900832</v>
      </c>
      <c r="F27" s="44">
        <f t="shared" si="6"/>
        <v>2.308021268867878</v>
      </c>
      <c r="G27" s="44">
        <f t="shared" si="6"/>
        <v>2.6863089310495645</v>
      </c>
      <c r="H27" s="2"/>
    </row>
    <row r="28" spans="1:7" ht="12.75">
      <c r="A28" s="91"/>
      <c r="B28" s="43"/>
      <c r="C28" s="43"/>
      <c r="D28" s="43"/>
      <c r="E28" s="43"/>
      <c r="F28" s="43"/>
      <c r="G28" s="43"/>
    </row>
    <row r="29" spans="1:7" ht="12.75">
      <c r="A29" s="93" t="s">
        <v>95</v>
      </c>
      <c r="B29" s="81"/>
      <c r="C29" s="81"/>
      <c r="D29" s="81"/>
      <c r="E29" s="81"/>
      <c r="F29" s="81"/>
      <c r="G29" s="81"/>
    </row>
    <row r="30" spans="1:8" ht="12.75">
      <c r="A30" s="105" t="s">
        <v>19</v>
      </c>
      <c r="B30" s="43">
        <f aca="true" t="shared" si="7" ref="B30:G30">STDEV(B552:B570)</f>
        <v>8.547185983264718</v>
      </c>
      <c r="C30" s="43">
        <f t="shared" si="7"/>
        <v>9.91987624963715</v>
      </c>
      <c r="D30" s="43">
        <f t="shared" si="7"/>
        <v>15.672867816280617</v>
      </c>
      <c r="E30" s="43">
        <f t="shared" si="7"/>
        <v>9.458880487236376</v>
      </c>
      <c r="F30" s="43">
        <f t="shared" si="7"/>
        <v>11.427457676611727</v>
      </c>
      <c r="G30" s="43">
        <f t="shared" si="7"/>
        <v>13.556152736254182</v>
      </c>
      <c r="H30" s="2"/>
    </row>
    <row r="31" spans="1:8" ht="12.75">
      <c r="A31" s="91" t="s">
        <v>22</v>
      </c>
      <c r="B31" s="43">
        <f aca="true" t="shared" si="8" ref="B31:G31">STDEV(B561:B570)</f>
        <v>3.952496834487634</v>
      </c>
      <c r="C31" s="43">
        <f t="shared" si="8"/>
        <v>4.755442257589372</v>
      </c>
      <c r="D31" s="43">
        <f t="shared" si="8"/>
        <v>7.497561782618945</v>
      </c>
      <c r="E31" s="43">
        <f t="shared" si="8"/>
        <v>4.531579779048604</v>
      </c>
      <c r="F31" s="43">
        <f t="shared" si="8"/>
        <v>5.878927206183664</v>
      </c>
      <c r="G31" s="43">
        <f t="shared" si="8"/>
        <v>4.331480230649816</v>
      </c>
      <c r="H31" s="2"/>
    </row>
    <row r="32" spans="1:7" ht="12.75">
      <c r="A32" s="91"/>
      <c r="B32" s="43"/>
      <c r="C32" s="43"/>
      <c r="D32" s="43"/>
      <c r="E32" s="43"/>
      <c r="F32" s="43"/>
      <c r="G32" s="43"/>
    </row>
    <row r="33" spans="1:7" ht="12.75">
      <c r="A33" s="93" t="s">
        <v>96</v>
      </c>
      <c r="B33" s="81"/>
      <c r="C33" s="81"/>
      <c r="D33" s="81"/>
      <c r="E33" s="81"/>
      <c r="F33" s="81"/>
      <c r="G33" s="81"/>
    </row>
    <row r="34" spans="1:8" ht="12.75">
      <c r="A34" s="105" t="s">
        <v>19</v>
      </c>
      <c r="B34" s="43">
        <f aca="true" t="shared" si="9" ref="B34:G35">+B30/$B30</f>
        <v>1</v>
      </c>
      <c r="C34" s="43">
        <f t="shared" si="9"/>
        <v>1.1606014270732077</v>
      </c>
      <c r="D34" s="43">
        <f t="shared" si="9"/>
        <v>1.8336874670760521</v>
      </c>
      <c r="E34" s="43">
        <f t="shared" si="9"/>
        <v>1.1066660425731631</v>
      </c>
      <c r="F34" s="43">
        <f t="shared" si="9"/>
        <v>1.336984792303168</v>
      </c>
      <c r="G34" s="43">
        <f t="shared" si="9"/>
        <v>1.5860369439482138</v>
      </c>
      <c r="H34" s="2"/>
    </row>
    <row r="35" spans="1:8" ht="12.75">
      <c r="A35" s="91" t="s">
        <v>22</v>
      </c>
      <c r="B35" s="43">
        <f t="shared" si="9"/>
        <v>1</v>
      </c>
      <c r="C35" s="43">
        <f t="shared" si="9"/>
        <v>1.2031489098474697</v>
      </c>
      <c r="D35" s="43">
        <f t="shared" si="9"/>
        <v>1.896917846258278</v>
      </c>
      <c r="E35" s="43">
        <f t="shared" si="9"/>
        <v>1.1465106662472602</v>
      </c>
      <c r="F35" s="43">
        <f t="shared" si="9"/>
        <v>1.4873958038085955</v>
      </c>
      <c r="G35" s="43">
        <f t="shared" si="9"/>
        <v>1.0958845540002335</v>
      </c>
      <c r="H35" s="2"/>
    </row>
    <row r="36" spans="1:7" ht="12.75">
      <c r="A36" s="91"/>
      <c r="B36" s="43"/>
      <c r="C36" s="43"/>
      <c r="D36" s="43"/>
      <c r="E36" s="43"/>
      <c r="F36" s="43"/>
      <c r="G36" s="43"/>
    </row>
    <row r="37" spans="1:7" ht="12.75">
      <c r="A37" s="93" t="s">
        <v>17</v>
      </c>
      <c r="B37" s="81"/>
      <c r="C37" s="81"/>
      <c r="D37" s="81"/>
      <c r="E37" s="81"/>
      <c r="F37" s="81"/>
      <c r="G37" s="81"/>
    </row>
    <row r="38" spans="1:8" ht="12.75">
      <c r="A38" s="105" t="s">
        <v>19</v>
      </c>
      <c r="B38" s="44">
        <f>CORREL(B61:B287,B62:B288)</f>
        <v>0.874382283118076</v>
      </c>
      <c r="C38" s="44">
        <f>CORREL(C65:C118,C64:C117)</f>
        <v>0.08786451114550192</v>
      </c>
      <c r="D38" s="44">
        <f>CORREL(D65:D118,D64:D117)</f>
        <v>0.016467346007940042</v>
      </c>
      <c r="E38" s="44">
        <f>CORREL(E65:E118,E64:E117)</f>
        <v>0.08786451114550191</v>
      </c>
      <c r="F38" s="44">
        <f>CORREL(F65:F118,F64:F117)</f>
        <v>-0.09753003613203416</v>
      </c>
      <c r="G38" s="44" t="s">
        <v>21</v>
      </c>
      <c r="H38" s="2"/>
    </row>
    <row r="39" spans="1:8" ht="12.75">
      <c r="A39" s="91" t="s">
        <v>22</v>
      </c>
      <c r="B39" s="44">
        <f aca="true" t="shared" si="10" ref="B39:G39">CORREL(B169:B287,B170:B288)</f>
        <v>0.7087314537002036</v>
      </c>
      <c r="C39" s="44">
        <f t="shared" si="10"/>
        <v>-0.13341804110561775</v>
      </c>
      <c r="D39" s="44">
        <f t="shared" si="10"/>
        <v>-0.030428945911138042</v>
      </c>
      <c r="E39" s="44">
        <f t="shared" si="10"/>
        <v>-0.1334180411056178</v>
      </c>
      <c r="F39" s="44">
        <f t="shared" si="10"/>
        <v>0.11190842985878863</v>
      </c>
      <c r="G39" s="44">
        <f t="shared" si="10"/>
        <v>-0.2761327394798665</v>
      </c>
      <c r="H39" s="2"/>
    </row>
    <row r="40" spans="1:7" ht="12.75">
      <c r="A40" s="91"/>
      <c r="B40" s="44"/>
      <c r="C40" s="44"/>
      <c r="D40" s="44"/>
      <c r="E40" s="44"/>
      <c r="F40" s="44"/>
      <c r="G40" s="44"/>
    </row>
    <row r="41" spans="1:7" ht="12.75">
      <c r="A41" s="93" t="s">
        <v>65</v>
      </c>
      <c r="B41" s="82"/>
      <c r="C41" s="82"/>
      <c r="D41" s="82"/>
      <c r="E41" s="82"/>
      <c r="F41" s="82"/>
      <c r="G41" s="82"/>
    </row>
    <row r="42" spans="1:8" ht="12.75">
      <c r="A42" s="105" t="s">
        <v>19</v>
      </c>
      <c r="B42" s="44">
        <f>IF(B38&gt;0,TDIST(B38/SQRT((1-B38^2)/225),225,2),TDIST(-B38/SQRT((1-B38^2)/225),225,2))</f>
        <v>1.326928847230923E-72</v>
      </c>
      <c r="C42" s="44">
        <f>IF(C38&gt;0,TDIST(C38/SQRT((1-C38^2)/225),225,2),TDIST(-C38/SQRT((1-C38^2)/225),225,2))</f>
        <v>0.18715018554586793</v>
      </c>
      <c r="D42" s="44">
        <f>IF(D38&gt;0,TDIST(D38/SQRT((1-D38^2)/225),225,2),TDIST(-D38/SQRT((1-D38^2)/225),225,2))</f>
        <v>0.8050996778936491</v>
      </c>
      <c r="E42" s="44">
        <f>IF(E38&gt;0,TDIST(E38/SQRT((1-E38^2)/225),225,2),TDIST(-E38/SQRT((1-E38^2)/225),225,2))</f>
        <v>0.18715018554586793</v>
      </c>
      <c r="F42" s="44">
        <f>IF(F38&gt;0,TDIST(F38/SQRT((1-F38^2)/225),225,2),TDIST(-F38/SQRT((1-F38^2)/225),225,2))</f>
        <v>0.1429699405985777</v>
      </c>
      <c r="G42" s="44" t="s">
        <v>21</v>
      </c>
      <c r="H42" s="2"/>
    </row>
    <row r="43" spans="1:8" ht="12.75">
      <c r="A43" s="91" t="s">
        <v>22</v>
      </c>
      <c r="B43" s="44">
        <f aca="true" t="shared" si="11" ref="B43:G43">IF(B39&gt;0,TDIST(B39/SQRT((1-B39^2)/117),117,2),TDIST(-B39/SQRT((1-B39^2)/117),117,2))</f>
        <v>1.929680390034045E-19</v>
      </c>
      <c r="C43" s="44">
        <f t="shared" si="11"/>
        <v>0.14802803229013406</v>
      </c>
      <c r="D43" s="44">
        <f t="shared" si="11"/>
        <v>0.742523844214688</v>
      </c>
      <c r="E43" s="44">
        <f t="shared" si="11"/>
        <v>0.14802803229013406</v>
      </c>
      <c r="F43" s="44">
        <f t="shared" si="11"/>
        <v>0.22562669849393846</v>
      </c>
      <c r="G43" s="44">
        <f t="shared" si="11"/>
        <v>0.002367440816438073</v>
      </c>
      <c r="H43" s="2"/>
    </row>
    <row r="44" spans="1:7" ht="12.75">
      <c r="A44" s="91"/>
      <c r="B44" s="44"/>
      <c r="C44" s="44"/>
      <c r="D44" s="44"/>
      <c r="E44" s="44"/>
      <c r="F44" s="44"/>
      <c r="G44" s="44"/>
    </row>
    <row r="45" spans="1:7" ht="12.75">
      <c r="A45" s="93" t="s">
        <v>18</v>
      </c>
      <c r="B45" s="81"/>
      <c r="C45" s="45"/>
      <c r="D45" s="45"/>
      <c r="E45" s="45"/>
      <c r="F45" s="45"/>
      <c r="G45" s="45"/>
    </row>
    <row r="46" spans="1:8" ht="12.75">
      <c r="A46" s="105" t="s">
        <v>19</v>
      </c>
      <c r="B46" s="44">
        <f>CORREL(B61:B286,B63:B288)</f>
        <v>0.8318324979359917</v>
      </c>
      <c r="C46" s="44">
        <f>CORREL(C61:C286,C63:C288)</f>
        <v>0.24608607343422062</v>
      </c>
      <c r="D46" s="44">
        <f>CORREL(D61:D286,D63:D288)</f>
        <v>0.0029899375297916743</v>
      </c>
      <c r="E46" s="44">
        <f>CORREL(E61:E286,E63:E288)</f>
        <v>0.24607215133440874</v>
      </c>
      <c r="F46" s="44">
        <f>CORREL(F61:F286,F63:F288)</f>
        <v>0.1558026722186207</v>
      </c>
      <c r="G46" s="44" t="s">
        <v>21</v>
      </c>
      <c r="H46" s="2"/>
    </row>
    <row r="47" spans="1:8" ht="12.75">
      <c r="A47" s="91" t="s">
        <v>22</v>
      </c>
      <c r="B47" s="44">
        <f aca="true" t="shared" si="12" ref="B47:G47">CORREL(B169:B286,B171:B288)</f>
        <v>0.6214918120810617</v>
      </c>
      <c r="C47" s="44">
        <f t="shared" si="12"/>
        <v>0.06346928938144285</v>
      </c>
      <c r="D47" s="44">
        <f t="shared" si="12"/>
        <v>-0.11185790143757121</v>
      </c>
      <c r="E47" s="44">
        <f t="shared" si="12"/>
        <v>0.06346928938144275</v>
      </c>
      <c r="F47" s="44">
        <f t="shared" si="12"/>
        <v>0.16156458359174822</v>
      </c>
      <c r="G47" s="44">
        <f t="shared" si="12"/>
        <v>0.12446921914000965</v>
      </c>
      <c r="H47" s="2"/>
    </row>
    <row r="48" spans="1:7" ht="12.75">
      <c r="A48" s="91"/>
      <c r="B48" s="44"/>
      <c r="C48" s="44"/>
      <c r="D48" s="44"/>
      <c r="E48" s="44"/>
      <c r="F48" s="44"/>
      <c r="G48" s="44"/>
    </row>
    <row r="49" spans="1:7" ht="12.75">
      <c r="A49" s="93" t="s">
        <v>66</v>
      </c>
      <c r="B49" s="82"/>
      <c r="C49" s="82"/>
      <c r="D49" s="82"/>
      <c r="E49" s="82"/>
      <c r="F49" s="82"/>
      <c r="G49" s="82"/>
    </row>
    <row r="50" spans="1:8" ht="12.75">
      <c r="A50" s="105" t="s">
        <v>19</v>
      </c>
      <c r="B50" s="44">
        <f>IF(B46&gt;0,TDIST(B46/SQRT((1-B46^2)/225),225,2),TDIST(-B46/SQRT((1-B46^2)/225),225,2))</f>
        <v>1.8841431248125093E-59</v>
      </c>
      <c r="C50" s="44">
        <f>IF(C46&gt;0,TDIST(C46/SQRT((1-C46^2)/225),225,2),TDIST(-C46/SQRT((1-C46^2)/225),225,2))</f>
        <v>0.00018043291311058647</v>
      </c>
      <c r="D50" s="44">
        <f>IF(D46&gt;0,TDIST(D46/SQRT((1-D46^2)/225),225,2),TDIST(-D46/SQRT((1-D46^2)/225),225,2))</f>
        <v>0.9642672363036568</v>
      </c>
      <c r="E50" s="44">
        <f>IF(E46&gt;0,TDIST(E46/SQRT((1-E46^2)/225),225,2),TDIST(-E46/SQRT((1-E46^2)/225),225,2))</f>
        <v>0.00018059009905835497</v>
      </c>
      <c r="F50" s="44">
        <f>IF(F46&gt;0,TDIST(F46/SQRT((1-F46^2)/225),225,2),TDIST(-F46/SQRT((1-F46^2)/225),225,2))</f>
        <v>0.018833694943053585</v>
      </c>
      <c r="G50" s="44" t="s">
        <v>21</v>
      </c>
      <c r="H50" s="2"/>
    </row>
    <row r="51" spans="1:8" ht="12.75">
      <c r="A51" s="91" t="s">
        <v>22</v>
      </c>
      <c r="B51" s="44">
        <f aca="true" t="shared" si="13" ref="B51:G51">IF(B47&gt;0,TDIST(B47/SQRT((1-B47^2)/117),117,2),TDIST(-B47/SQRT((1-B47^2)/117),117,2))</f>
        <v>4.6267990661815996E-14</v>
      </c>
      <c r="C51" s="44">
        <f t="shared" si="13"/>
        <v>0.49286957190309666</v>
      </c>
      <c r="D51" s="44">
        <f t="shared" si="13"/>
        <v>0.2258375967751448</v>
      </c>
      <c r="E51" s="44">
        <f t="shared" si="13"/>
        <v>0.49286957190309666</v>
      </c>
      <c r="F51" s="44">
        <f t="shared" si="13"/>
        <v>0.07918916597271079</v>
      </c>
      <c r="G51" s="44">
        <f t="shared" si="13"/>
        <v>0.1774275286577921</v>
      </c>
      <c r="H51" s="2"/>
    </row>
    <row r="52" spans="2:7" ht="12.75">
      <c r="B52" s="43"/>
      <c r="C52" s="38"/>
      <c r="D52" s="38"/>
      <c r="E52" s="38"/>
      <c r="F52" s="38"/>
      <c r="G52" s="44"/>
    </row>
    <row r="53" spans="2:7" ht="12.75">
      <c r="B53" s="43"/>
      <c r="C53" s="50"/>
      <c r="D53" s="38"/>
      <c r="E53" s="38"/>
      <c r="F53" s="38"/>
      <c r="G53" s="38"/>
    </row>
    <row r="54" spans="2:7" ht="12.75">
      <c r="B54" s="43"/>
      <c r="C54" s="38"/>
      <c r="D54" s="38"/>
      <c r="E54" s="38"/>
      <c r="F54" s="38"/>
      <c r="G54" s="38"/>
    </row>
    <row r="55" spans="2:7" ht="12.75">
      <c r="B55" s="43"/>
      <c r="C55" s="38"/>
      <c r="D55" s="38"/>
      <c r="E55" s="38"/>
      <c r="F55" s="38"/>
      <c r="G55" s="38"/>
    </row>
    <row r="56" spans="1:12" ht="16.5" thickBot="1">
      <c r="A56" s="102" t="s">
        <v>87</v>
      </c>
      <c r="B56" s="89"/>
      <c r="C56" s="54"/>
      <c r="D56" s="54"/>
      <c r="E56" s="54"/>
      <c r="F56" s="54"/>
      <c r="G56" s="54"/>
      <c r="H56" s="35"/>
      <c r="I56" s="34"/>
      <c r="J56" s="34"/>
      <c r="K56" s="34"/>
      <c r="L56" s="34"/>
    </row>
    <row r="57" spans="2:7" ht="12.75">
      <c r="B57" s="43"/>
      <c r="C57" s="38"/>
      <c r="D57" s="38"/>
      <c r="E57" s="38"/>
      <c r="F57" s="38"/>
      <c r="G57" s="38"/>
    </row>
    <row r="58" spans="2:8" ht="13.5" thickBot="1">
      <c r="B58" s="43"/>
      <c r="C58" s="60" t="s">
        <v>89</v>
      </c>
      <c r="D58" s="54"/>
      <c r="E58" s="54"/>
      <c r="F58" s="54"/>
      <c r="G58" s="54"/>
      <c r="H58" s="1"/>
    </row>
    <row r="59" spans="2:12" ht="38.25">
      <c r="B59" s="103" t="s">
        <v>99</v>
      </c>
      <c r="C59" s="36" t="s">
        <v>58</v>
      </c>
      <c r="D59" s="36" t="str">
        <f>+D3</f>
        <v>Lags 1-n Method</v>
      </c>
      <c r="E59" s="36" t="s">
        <v>4</v>
      </c>
      <c r="F59" s="36" t="s">
        <v>5</v>
      </c>
      <c r="G59" s="36" t="s">
        <v>62</v>
      </c>
      <c r="J59" s="36" t="s">
        <v>92</v>
      </c>
      <c r="L59"/>
    </row>
    <row r="60" spans="1:14" ht="12.75">
      <c r="A60" s="15">
        <v>31777</v>
      </c>
      <c r="B60" s="38"/>
      <c r="C60" s="38"/>
      <c r="D60" s="38"/>
      <c r="E60" s="38"/>
      <c r="F60" s="38"/>
      <c r="G60" s="38"/>
      <c r="J60" s="10"/>
      <c r="L60"/>
      <c r="N60"/>
    </row>
    <row r="61" spans="1:14" ht="12.75">
      <c r="A61" s="15">
        <v>31808</v>
      </c>
      <c r="B61" s="47">
        <v>0.6597</v>
      </c>
      <c r="C61" s="152">
        <f>+B61</f>
        <v>0.6597</v>
      </c>
      <c r="D61" s="152">
        <f>+C61</f>
        <v>0.6597</v>
      </c>
      <c r="E61" s="152">
        <f>+D61</f>
        <v>0.6597</v>
      </c>
      <c r="F61" s="152">
        <f>+E61</f>
        <v>0.6597</v>
      </c>
      <c r="G61" s="154"/>
      <c r="J61" s="10">
        <v>8.116292430698513</v>
      </c>
      <c r="K61" s="10"/>
      <c r="L61"/>
      <c r="N61"/>
    </row>
    <row r="62" spans="1:14" ht="12.75">
      <c r="A62" s="15">
        <v>31836</v>
      </c>
      <c r="B62" s="43">
        <v>0.93657</v>
      </c>
      <c r="C62" s="151">
        <f aca="true" t="shared" si="14" ref="C62:C95">(B62-$C$4*B61)/(1-$C$4)</f>
        <v>1.6102660790266856</v>
      </c>
      <c r="D62" s="152">
        <f>+C62</f>
        <v>1.6102660790266856</v>
      </c>
      <c r="E62" s="151">
        <f aca="true" t="shared" si="15" ref="E62:E125">((B62-$E$4*B61)/(1-$E$4))/$E$6</f>
        <v>1.5417340611555628</v>
      </c>
      <c r="F62" s="152">
        <f aca="true" t="shared" si="16" ref="F62:F124">IF($B62&gt;$H$4,(B62-$F$4*B61)/(1-$F$4),IF(B62&gt;$H$5,(B62-$F$5*B61)/(1-$F$5),IF(B62&gt;$H$6,(B62-$F$6*B61)/(1-$F$6),IF(B62&gt;$H$7,(B62-$F$7*B61)/(1-$F$7),IF(B62&gt;$H$8,(B62-$F$8*B61)/(1-$F$8),(B62-$F$9*B61)/(1-$F$9))))))</f>
        <v>1.4156207657798108</v>
      </c>
      <c r="G62" s="154"/>
      <c r="J62" s="10">
        <v>8.837693321081819</v>
      </c>
      <c r="K62" s="10"/>
      <c r="L62"/>
      <c r="N62"/>
    </row>
    <row r="63" spans="1:14" ht="12.75">
      <c r="A63" s="15">
        <v>31867</v>
      </c>
      <c r="B63" s="43">
        <v>0.85759</v>
      </c>
      <c r="C63" s="151">
        <f t="shared" si="14"/>
        <v>0.6654113012550019</v>
      </c>
      <c r="D63" s="152">
        <f>+C63</f>
        <v>0.6654113012550019</v>
      </c>
      <c r="E63" s="151">
        <f t="shared" si="15"/>
        <v>0.6370917708474443</v>
      </c>
      <c r="F63" s="152">
        <f t="shared" si="16"/>
        <v>0.7209358681645196</v>
      </c>
      <c r="G63" s="154"/>
      <c r="J63" s="10">
        <v>1.7210513467328603</v>
      </c>
      <c r="K63" s="10"/>
      <c r="L63"/>
      <c r="N63"/>
    </row>
    <row r="64" spans="1:14" ht="12.75">
      <c r="A64" s="15">
        <v>31897</v>
      </c>
      <c r="B64" s="43">
        <v>0.9056</v>
      </c>
      <c r="C64" s="151">
        <f t="shared" si="14"/>
        <v>1.022420705580493</v>
      </c>
      <c r="D64" s="151">
        <f aca="true" t="shared" si="17" ref="D64:D128">(B64-($D$4*B63+$D$5*B62+$D$6*B61))/(1-$D$4-$D$5-$D$6)</f>
        <v>1.010183436242109</v>
      </c>
      <c r="E64" s="151">
        <f t="shared" si="15"/>
        <v>0.9789070558928583</v>
      </c>
      <c r="F64" s="152">
        <f t="shared" si="16"/>
        <v>0.9886686866222008</v>
      </c>
      <c r="G64" s="154"/>
      <c r="I64" s="6"/>
      <c r="J64" s="10">
        <v>2.345906163753453</v>
      </c>
      <c r="K64" s="10"/>
      <c r="L64"/>
      <c r="N64"/>
    </row>
    <row r="65" spans="1:14" ht="12.75">
      <c r="A65" s="15">
        <v>31928</v>
      </c>
      <c r="B65" s="43">
        <v>0.9851</v>
      </c>
      <c r="C65" s="151">
        <f t="shared" si="14"/>
        <v>1.1785439927858616</v>
      </c>
      <c r="D65" s="151">
        <f t="shared" si="17"/>
        <v>1.532757523912453</v>
      </c>
      <c r="E65" s="151">
        <f t="shared" si="15"/>
        <v>1.1283858238798106</v>
      </c>
      <c r="F65" s="152">
        <f t="shared" si="16"/>
        <v>1.1226538551648606</v>
      </c>
      <c r="G65" s="154"/>
      <c r="I65" s="6"/>
      <c r="J65" s="10">
        <v>7.200781631656072</v>
      </c>
      <c r="K65" s="10"/>
      <c r="L65"/>
      <c r="N65"/>
    </row>
    <row r="66" spans="1:14" ht="12.75">
      <c r="A66" s="15">
        <v>31958</v>
      </c>
      <c r="B66" s="43">
        <v>0.84671</v>
      </c>
      <c r="C66" s="151">
        <f t="shared" si="14"/>
        <v>0.5099714570863475</v>
      </c>
      <c r="D66" s="151">
        <f t="shared" si="17"/>
        <v>0.2349253426284992</v>
      </c>
      <c r="E66" s="151">
        <f t="shared" si="15"/>
        <v>0.4882673589462879</v>
      </c>
      <c r="F66" s="152">
        <f t="shared" si="16"/>
        <v>0.6072624777828296</v>
      </c>
      <c r="G66" s="154"/>
      <c r="I66" s="6"/>
      <c r="J66" s="10">
        <v>5.094786729857814</v>
      </c>
      <c r="K66" s="10"/>
      <c r="L66"/>
      <c r="N66"/>
    </row>
    <row r="67" spans="1:12" ht="12.75">
      <c r="A67" s="15">
        <v>31989</v>
      </c>
      <c r="B67" s="43">
        <v>1.96322</v>
      </c>
      <c r="C67" s="151">
        <f t="shared" si="14"/>
        <v>4.67997663377789</v>
      </c>
      <c r="D67" s="151">
        <f t="shared" si="17"/>
        <v>7.952534907670575</v>
      </c>
      <c r="E67" s="151">
        <f t="shared" si="15"/>
        <v>4.480799462700445</v>
      </c>
      <c r="F67" s="152">
        <f t="shared" si="16"/>
        <v>6.009319261044684</v>
      </c>
      <c r="G67" s="154"/>
      <c r="I67" s="6"/>
      <c r="J67" s="10">
        <v>4.249414621455205</v>
      </c>
      <c r="K67" s="10"/>
      <c r="L67"/>
    </row>
    <row r="68" spans="1:12" ht="12.75">
      <c r="A68" s="15">
        <v>32020</v>
      </c>
      <c r="B68" s="43">
        <v>1.36596</v>
      </c>
      <c r="C68" s="151">
        <f t="shared" si="14"/>
        <v>-0.08732753624256141</v>
      </c>
      <c r="D68" s="151">
        <f t="shared" si="17"/>
        <v>0.34551072619448403</v>
      </c>
      <c r="E68" s="151">
        <f t="shared" si="15"/>
        <v>-0.08361092545856366</v>
      </c>
      <c r="F68" s="152">
        <f t="shared" si="16"/>
        <v>0.5284250693980285</v>
      </c>
      <c r="G68" s="154"/>
      <c r="I68" s="6"/>
      <c r="J68" s="10">
        <v>-4.616920389318702</v>
      </c>
      <c r="K68" s="10"/>
      <c r="L68"/>
    </row>
    <row r="69" spans="1:12" ht="12.75">
      <c r="A69" s="15">
        <v>32050</v>
      </c>
      <c r="B69" s="43">
        <v>1.66547</v>
      </c>
      <c r="C69" s="151">
        <f t="shared" si="14"/>
        <v>2.394255034959665</v>
      </c>
      <c r="D69" s="151">
        <f t="shared" si="17"/>
        <v>2.0989489061593014</v>
      </c>
      <c r="E69" s="151">
        <f t="shared" si="15"/>
        <v>2.292356888447717</v>
      </c>
      <c r="F69" s="152">
        <f t="shared" si="16"/>
        <v>2.312971656720644</v>
      </c>
      <c r="G69" s="154"/>
      <c r="I69" s="6"/>
      <c r="J69" s="10">
        <v>5.4247339961625896</v>
      </c>
      <c r="K69" s="10"/>
      <c r="L69"/>
    </row>
    <row r="70" spans="1:12" ht="12.75">
      <c r="A70" s="15">
        <v>32081</v>
      </c>
      <c r="B70" s="43">
        <v>2.37431</v>
      </c>
      <c r="C70" s="151">
        <f t="shared" si="14"/>
        <v>4.099100438318617</v>
      </c>
      <c r="D70" s="151">
        <f t="shared" si="17"/>
        <v>6.9880876015523565</v>
      </c>
      <c r="E70" s="151">
        <f t="shared" si="15"/>
        <v>3.9246450311326324</v>
      </c>
      <c r="F70" s="152">
        <f t="shared" si="16"/>
        <v>4.943061735496245</v>
      </c>
      <c r="G70" s="154"/>
      <c r="J70" s="10">
        <v>-26.594142951687616</v>
      </c>
      <c r="K70" s="10"/>
      <c r="L70"/>
    </row>
    <row r="71" spans="1:12" ht="12.75">
      <c r="A71" s="15">
        <v>32111</v>
      </c>
      <c r="B71" s="43">
        <v>1.50639</v>
      </c>
      <c r="C71" s="151">
        <f t="shared" si="14"/>
        <v>-0.6054830845120123</v>
      </c>
      <c r="D71" s="151">
        <f t="shared" si="17"/>
        <v>-1.890083226938102</v>
      </c>
      <c r="E71" s="151">
        <f t="shared" si="15"/>
        <v>-0.5797140652741971</v>
      </c>
      <c r="F71" s="152">
        <f t="shared" si="16"/>
        <v>-0.36994013221923006</v>
      </c>
      <c r="G71" s="154"/>
      <c r="J71" s="10">
        <v>-10.257739510666841</v>
      </c>
      <c r="K71" s="10"/>
      <c r="L71"/>
    </row>
    <row r="72" spans="1:12" ht="12.75">
      <c r="A72" s="15">
        <v>32142</v>
      </c>
      <c r="B72" s="43">
        <v>1.79357</v>
      </c>
      <c r="C72" s="151">
        <f t="shared" si="14"/>
        <v>2.492352966644576</v>
      </c>
      <c r="D72" s="151">
        <f t="shared" si="17"/>
        <v>1.590816782108881</v>
      </c>
      <c r="E72" s="151">
        <f t="shared" si="15"/>
        <v>2.386279827381483</v>
      </c>
      <c r="F72" s="152">
        <f t="shared" si="16"/>
        <v>2.834276116189567</v>
      </c>
      <c r="G72" s="154"/>
      <c r="J72" s="10">
        <v>9.281561201039823</v>
      </c>
      <c r="K72" s="10"/>
      <c r="L72"/>
    </row>
    <row r="73" spans="1:12" ht="12.75">
      <c r="A73" s="15">
        <v>32173</v>
      </c>
      <c r="B73" s="43">
        <v>1.32254</v>
      </c>
      <c r="C73" s="151">
        <f t="shared" si="14"/>
        <v>0.1764025921770522</v>
      </c>
      <c r="D73" s="151">
        <f t="shared" si="17"/>
        <v>-0.7250076472877699</v>
      </c>
      <c r="E73" s="151">
        <f t="shared" si="15"/>
        <v>0.16889499715468337</v>
      </c>
      <c r="F73" s="152">
        <f t="shared" si="16"/>
        <v>0.6620168135126295</v>
      </c>
      <c r="G73" s="154"/>
      <c r="J73" s="10">
        <v>5.242352508561066</v>
      </c>
      <c r="K73" s="10"/>
      <c r="L73"/>
    </row>
    <row r="74" spans="1:12" ht="12.75">
      <c r="A74" s="15">
        <v>32202</v>
      </c>
      <c r="B74" s="43">
        <v>2.35349</v>
      </c>
      <c r="C74" s="151">
        <f t="shared" si="14"/>
        <v>4.862057098900427</v>
      </c>
      <c r="D74" s="151">
        <f t="shared" si="17"/>
        <v>7.164917530113695</v>
      </c>
      <c r="E74" s="151">
        <f t="shared" si="15"/>
        <v>4.655130685724246</v>
      </c>
      <c r="F74" s="152">
        <f t="shared" si="16"/>
        <v>6.089530011441023</v>
      </c>
      <c r="G74" s="154"/>
      <c r="J74" s="10">
        <v>-0.8473095737246861</v>
      </c>
      <c r="K74" s="10"/>
      <c r="L74"/>
    </row>
    <row r="75" spans="1:12" ht="12.75">
      <c r="A75" s="15">
        <v>32233</v>
      </c>
      <c r="B75" s="43">
        <v>1.56981</v>
      </c>
      <c r="C75" s="151">
        <f t="shared" si="14"/>
        <v>-0.33708544989212536</v>
      </c>
      <c r="D75" s="151">
        <f t="shared" si="17"/>
        <v>-0.6782541947934707</v>
      </c>
      <c r="E75" s="151">
        <f t="shared" si="15"/>
        <v>-0.32273928289712417</v>
      </c>
      <c r="F75" s="152">
        <f t="shared" si="16"/>
        <v>-0.12440421100742721</v>
      </c>
      <c r="G75" s="154"/>
      <c r="J75" s="10">
        <v>-1.2476874284203965</v>
      </c>
      <c r="K75" s="10"/>
      <c r="L75"/>
    </row>
    <row r="76" spans="1:12" ht="12.75">
      <c r="A76" s="15">
        <v>32263</v>
      </c>
      <c r="B76" s="43">
        <v>2.61564</v>
      </c>
      <c r="C76" s="151">
        <f t="shared" si="14"/>
        <v>5.1604139745312905</v>
      </c>
      <c r="D76" s="151">
        <f t="shared" si="17"/>
        <v>6.8559156300700215</v>
      </c>
      <c r="E76" s="151">
        <f t="shared" si="15"/>
        <v>4.940789660679549</v>
      </c>
      <c r="F76" s="152">
        <f t="shared" si="16"/>
        <v>6.405603359198182</v>
      </c>
      <c r="G76" s="154"/>
      <c r="J76" s="10">
        <v>3.5059938667410195</v>
      </c>
      <c r="K76" s="10"/>
      <c r="L76"/>
    </row>
    <row r="77" spans="1:12" ht="12.75">
      <c r="A77" s="15">
        <v>32294</v>
      </c>
      <c r="B77" s="43">
        <v>2.63787</v>
      </c>
      <c r="C77" s="151">
        <f t="shared" si="14"/>
        <v>2.691961320246915</v>
      </c>
      <c r="D77" s="151">
        <f t="shared" si="17"/>
        <v>4.95334894269501</v>
      </c>
      <c r="E77" s="151">
        <f t="shared" si="15"/>
        <v>2.5773929618181985</v>
      </c>
      <c r="F77" s="152">
        <f t="shared" si="16"/>
        <v>2.7184288723549472</v>
      </c>
      <c r="G77" s="154"/>
      <c r="J77" s="10">
        <v>-0.5031297471423057</v>
      </c>
      <c r="K77" s="10"/>
      <c r="L77"/>
    </row>
    <row r="78" spans="1:12" ht="12.75">
      <c r="A78" s="15">
        <v>32324</v>
      </c>
      <c r="B78" s="43">
        <v>2.88486</v>
      </c>
      <c r="C78" s="151">
        <f t="shared" si="14"/>
        <v>3.4858503368324527</v>
      </c>
      <c r="D78" s="151">
        <f t="shared" si="17"/>
        <v>4.320473304208015</v>
      </c>
      <c r="E78" s="151">
        <f t="shared" si="15"/>
        <v>3.337494508754488</v>
      </c>
      <c r="F78" s="152">
        <f t="shared" si="16"/>
        <v>3.7799223429126725</v>
      </c>
      <c r="G78" s="154"/>
      <c r="J78" s="10">
        <v>4.276030838530831</v>
      </c>
      <c r="K78" s="10"/>
      <c r="L78"/>
    </row>
    <row r="79" spans="1:12" ht="12.75">
      <c r="A79" s="15">
        <v>32355</v>
      </c>
      <c r="B79" s="43">
        <v>2.64683</v>
      </c>
      <c r="C79" s="151">
        <f t="shared" si="14"/>
        <v>2.0676416527947343</v>
      </c>
      <c r="D79" s="151">
        <f t="shared" si="17"/>
        <v>1.8254801562995377</v>
      </c>
      <c r="E79" s="151">
        <f t="shared" si="15"/>
        <v>1.9796439879702625</v>
      </c>
      <c r="F79" s="152">
        <f t="shared" si="16"/>
        <v>1.784237629930348</v>
      </c>
      <c r="G79" s="154"/>
      <c r="J79" s="10">
        <v>0.2253351470908882</v>
      </c>
      <c r="K79" s="10"/>
      <c r="L79"/>
    </row>
    <row r="80" spans="1:12" ht="12.75">
      <c r="A80" s="15">
        <v>32386</v>
      </c>
      <c r="B80" s="43">
        <v>2.32989</v>
      </c>
      <c r="C80" s="151">
        <f t="shared" si="14"/>
        <v>1.558693282093698</v>
      </c>
      <c r="D80" s="151">
        <f t="shared" si="17"/>
        <v>0.048896610310643095</v>
      </c>
      <c r="E80" s="151">
        <f t="shared" si="15"/>
        <v>1.4923561734286437</v>
      </c>
      <c r="F80" s="152">
        <f t="shared" si="16"/>
        <v>1.1813371882961157</v>
      </c>
      <c r="G80" s="154"/>
      <c r="J80" s="10">
        <v>-5.5958474067013375</v>
      </c>
      <c r="K80" s="10"/>
      <c r="L80"/>
    </row>
    <row r="81" spans="1:12" ht="12.75">
      <c r="A81" s="15">
        <v>32416</v>
      </c>
      <c r="B81" s="43">
        <v>2.3737</v>
      </c>
      <c r="C81" s="151">
        <f t="shared" si="14"/>
        <v>2.48030102294275</v>
      </c>
      <c r="D81" s="151">
        <f t="shared" si="17"/>
        <v>1.956262977053539</v>
      </c>
      <c r="E81" s="151">
        <f t="shared" si="15"/>
        <v>2.374740807619317</v>
      </c>
      <c r="F81" s="152">
        <f t="shared" si="16"/>
        <v>2.532462222126419</v>
      </c>
      <c r="G81" s="154"/>
      <c r="J81" s="10">
        <v>3.8521900413753807</v>
      </c>
      <c r="K81" s="10"/>
      <c r="L81"/>
    </row>
    <row r="82" spans="1:12" ht="12.75">
      <c r="A82" s="15">
        <v>32447</v>
      </c>
      <c r="B82" s="43">
        <v>2.11515</v>
      </c>
      <c r="C82" s="151">
        <f t="shared" si="14"/>
        <v>1.4860312033360437</v>
      </c>
      <c r="D82" s="151">
        <f t="shared" si="17"/>
        <v>0.7528428913592086</v>
      </c>
      <c r="E82" s="151">
        <f t="shared" si="15"/>
        <v>1.42278655183992</v>
      </c>
      <c r="F82" s="152">
        <f t="shared" si="16"/>
        <v>1.1781955939103967</v>
      </c>
      <c r="G82" s="154"/>
      <c r="J82" s="10">
        <v>2.036416667547325</v>
      </c>
      <c r="K82" s="10"/>
      <c r="L82"/>
    </row>
    <row r="83" spans="1:12" ht="12.75">
      <c r="A83" s="15">
        <v>32477</v>
      </c>
      <c r="B83" s="43">
        <v>2.20812</v>
      </c>
      <c r="C83" s="151">
        <f t="shared" si="14"/>
        <v>2.434339974959768</v>
      </c>
      <c r="D83" s="151">
        <f t="shared" si="17"/>
        <v>2.1894512091163656</v>
      </c>
      <c r="E83" s="151">
        <f t="shared" si="15"/>
        <v>2.3307358359660615</v>
      </c>
      <c r="F83" s="152">
        <f t="shared" si="16"/>
        <v>2.545032207055311</v>
      </c>
      <c r="G83" s="154"/>
      <c r="J83" s="10">
        <v>-3.323528802535358</v>
      </c>
      <c r="K83" s="10"/>
      <c r="L83"/>
    </row>
    <row r="84" spans="1:12" ht="12.75">
      <c r="A84" s="15">
        <v>32508</v>
      </c>
      <c r="B84" s="43">
        <v>2.43791</v>
      </c>
      <c r="C84" s="151">
        <f t="shared" si="14"/>
        <v>2.997048303173121</v>
      </c>
      <c r="D84" s="151">
        <f t="shared" si="17"/>
        <v>3.924954569421315</v>
      </c>
      <c r="E84" s="151">
        <f t="shared" si="15"/>
        <v>2.8694956144908708</v>
      </c>
      <c r="F84" s="152">
        <f t="shared" si="16"/>
        <v>3.270641591472945</v>
      </c>
      <c r="G84" s="154"/>
      <c r="J84" s="10">
        <v>-0.734908136482959</v>
      </c>
      <c r="K84" s="10"/>
      <c r="L84"/>
    </row>
    <row r="85" spans="1:12" ht="12.75">
      <c r="A85" s="15">
        <v>32539</v>
      </c>
      <c r="B85" s="43">
        <v>1.53206</v>
      </c>
      <c r="C85" s="151">
        <f t="shared" si="14"/>
        <v>-0.6721065517619205</v>
      </c>
      <c r="D85" s="151">
        <f t="shared" si="17"/>
        <v>-3.081084341495352</v>
      </c>
      <c r="E85" s="151">
        <f t="shared" si="15"/>
        <v>-0.643502075261684</v>
      </c>
      <c r="F85" s="152">
        <f t="shared" si="16"/>
        <v>-0.42626985790256006</v>
      </c>
      <c r="G85" s="154"/>
      <c r="J85" s="10">
        <v>13.855103120042301</v>
      </c>
      <c r="K85" s="10"/>
      <c r="L85"/>
    </row>
    <row r="86" spans="1:12" ht="12.75">
      <c r="A86" s="15">
        <v>32567</v>
      </c>
      <c r="B86" s="43">
        <v>1.61956</v>
      </c>
      <c r="C86" s="151">
        <f t="shared" si="14"/>
        <v>1.832470054952993</v>
      </c>
      <c r="D86" s="151">
        <f t="shared" si="17"/>
        <v>0.2143781997094482</v>
      </c>
      <c r="E86" s="151">
        <f t="shared" si="15"/>
        <v>1.7544811609496842</v>
      </c>
      <c r="F86" s="152">
        <f t="shared" si="16"/>
        <v>1.8087236171181482</v>
      </c>
      <c r="G86" s="154"/>
      <c r="J86" s="10">
        <v>-1.1725451908585094</v>
      </c>
      <c r="K86" s="10"/>
      <c r="L86"/>
    </row>
    <row r="87" spans="1:12" ht="12.75">
      <c r="A87" s="15">
        <v>32598</v>
      </c>
      <c r="B87" s="43">
        <v>1.677</v>
      </c>
      <c r="C87" s="151">
        <f t="shared" si="14"/>
        <v>1.8167663263599982</v>
      </c>
      <c r="D87" s="151">
        <f t="shared" si="17"/>
        <v>2.1833043399980716</v>
      </c>
      <c r="E87" s="151">
        <f t="shared" si="15"/>
        <v>1.739445774205652</v>
      </c>
      <c r="F87" s="152">
        <f t="shared" si="16"/>
        <v>1.8011778076259013</v>
      </c>
      <c r="G87" s="154"/>
      <c r="J87" s="10">
        <v>3.21791674659504</v>
      </c>
      <c r="K87" s="10"/>
      <c r="L87"/>
    </row>
    <row r="88" spans="1:12" ht="12.75">
      <c r="A88" s="15">
        <v>32628</v>
      </c>
      <c r="B88" s="43">
        <v>1.69591</v>
      </c>
      <c r="C88" s="151">
        <f t="shared" si="14"/>
        <v>1.7419229044475555</v>
      </c>
      <c r="D88" s="151">
        <f t="shared" si="17"/>
        <v>1.9225647534705161</v>
      </c>
      <c r="E88" s="151">
        <f t="shared" si="15"/>
        <v>1.6677876461988845</v>
      </c>
      <c r="F88" s="152">
        <f t="shared" si="16"/>
        <v>1.7367909599966191</v>
      </c>
      <c r="G88" s="154"/>
      <c r="J88" s="10">
        <v>1.290712261301863</v>
      </c>
      <c r="K88" s="10"/>
      <c r="L88"/>
    </row>
    <row r="89" spans="1:12" ht="12.75">
      <c r="A89" s="15">
        <v>32659</v>
      </c>
      <c r="B89" s="43">
        <v>1.81346</v>
      </c>
      <c r="C89" s="151">
        <f t="shared" si="14"/>
        <v>2.099489450968277</v>
      </c>
      <c r="D89" s="151">
        <f t="shared" si="17"/>
        <v>2.5141588078681534</v>
      </c>
      <c r="E89" s="151">
        <f t="shared" si="15"/>
        <v>2.010136361781327</v>
      </c>
      <c r="F89" s="152">
        <f t="shared" si="16"/>
        <v>2.239447199519756</v>
      </c>
      <c r="G89" s="154"/>
      <c r="J89" s="10">
        <v>0.09357454772300766</v>
      </c>
      <c r="K89" s="10"/>
      <c r="L89"/>
    </row>
    <row r="90" spans="1:12" ht="12.75">
      <c r="A90" s="15">
        <v>32689</v>
      </c>
      <c r="B90" s="43">
        <v>1.70852</v>
      </c>
      <c r="C90" s="151">
        <f t="shared" si="14"/>
        <v>1.4531739295226627</v>
      </c>
      <c r="D90" s="151">
        <f t="shared" si="17"/>
        <v>1.3645502016436868</v>
      </c>
      <c r="E90" s="151">
        <f t="shared" si="15"/>
        <v>1.391327665103994</v>
      </c>
      <c r="F90" s="152">
        <f t="shared" si="16"/>
        <v>1.4816533716528184</v>
      </c>
      <c r="G90" s="154"/>
      <c r="J90" s="10">
        <v>0.9733653511264428</v>
      </c>
      <c r="K90" s="10"/>
      <c r="L90"/>
    </row>
    <row r="91" spans="1:12" ht="12.75">
      <c r="A91" s="15">
        <v>32720</v>
      </c>
      <c r="B91" s="43">
        <v>1.53141</v>
      </c>
      <c r="C91" s="151">
        <f t="shared" si="14"/>
        <v>1.1004557161974342</v>
      </c>
      <c r="D91" s="151">
        <f t="shared" si="17"/>
        <v>0.315563001282599</v>
      </c>
      <c r="E91" s="151">
        <f t="shared" si="15"/>
        <v>1.0536209403854722</v>
      </c>
      <c r="F91" s="152">
        <f t="shared" si="16"/>
        <v>1.1485212202537696</v>
      </c>
      <c r="G91" s="154"/>
      <c r="J91" s="10">
        <v>6.496441797981256</v>
      </c>
      <c r="K91" s="10"/>
      <c r="L91"/>
    </row>
    <row r="92" spans="1:12" ht="12.75">
      <c r="A92" s="15">
        <v>32751</v>
      </c>
      <c r="B92" s="43">
        <v>1.48013</v>
      </c>
      <c r="C92" s="151">
        <f t="shared" si="14"/>
        <v>1.3553525415086918</v>
      </c>
      <c r="D92" s="151">
        <f t="shared" si="17"/>
        <v>0.8207836219249321</v>
      </c>
      <c r="E92" s="151">
        <f t="shared" si="15"/>
        <v>1.2976695002982048</v>
      </c>
      <c r="F92" s="152">
        <f t="shared" si="16"/>
        <v>1.3692693110192162</v>
      </c>
      <c r="G92" s="154"/>
      <c r="J92" s="10">
        <v>2.9149797570850344</v>
      </c>
      <c r="K92" s="10"/>
      <c r="L92"/>
    </row>
    <row r="93" spans="1:12" ht="12.75">
      <c r="A93" s="15">
        <v>32781</v>
      </c>
      <c r="B93" s="43">
        <v>1.22545</v>
      </c>
      <c r="C93" s="151">
        <f t="shared" si="14"/>
        <v>0.6057479109093936</v>
      </c>
      <c r="D93" s="151">
        <f t="shared" si="17"/>
        <v>-0.3142556281955104</v>
      </c>
      <c r="E93" s="151">
        <f t="shared" si="15"/>
        <v>0.5799676208091822</v>
      </c>
      <c r="F93" s="152">
        <f t="shared" si="16"/>
        <v>0.8683134160571438</v>
      </c>
      <c r="G93" s="154"/>
      <c r="J93" s="10">
        <v>-3.1388463290405455</v>
      </c>
      <c r="K93" s="10"/>
      <c r="L93"/>
    </row>
    <row r="94" spans="1:12" ht="12.75">
      <c r="A94" s="15">
        <v>32812</v>
      </c>
      <c r="B94" s="43">
        <v>0.805</v>
      </c>
      <c r="C94" s="151">
        <f t="shared" si="14"/>
        <v>-0.21806322977126374</v>
      </c>
      <c r="D94" s="151">
        <f t="shared" si="17"/>
        <v>-2.0929987887859576</v>
      </c>
      <c r="E94" s="151">
        <f t="shared" si="15"/>
        <v>-0.20878258146452428</v>
      </c>
      <c r="F94" s="152">
        <f t="shared" si="16"/>
        <v>0.07752178108093608</v>
      </c>
      <c r="G94" s="154"/>
      <c r="J94" s="10">
        <v>-7.589243726219486</v>
      </c>
      <c r="K94" s="10"/>
      <c r="L94"/>
    </row>
    <row r="95" spans="1:12" ht="12.75">
      <c r="A95" s="15">
        <v>32842</v>
      </c>
      <c r="B95" s="43">
        <v>0.26093</v>
      </c>
      <c r="C95" s="151">
        <f t="shared" si="14"/>
        <v>-1.0629325554088513</v>
      </c>
      <c r="D95" s="151">
        <f t="shared" si="17"/>
        <v>-3.679498619706707</v>
      </c>
      <c r="E95" s="151">
        <f t="shared" si="15"/>
        <v>-1.0176947441974842</v>
      </c>
      <c r="F95" s="152">
        <f t="shared" si="16"/>
        <v>-1.2383130670545752</v>
      </c>
      <c r="G95" s="154"/>
      <c r="J95" s="10">
        <v>5.355341925813528</v>
      </c>
      <c r="K95" s="10"/>
      <c r="L95"/>
    </row>
    <row r="96" spans="1:12" ht="12.75">
      <c r="A96" s="15">
        <v>32873</v>
      </c>
      <c r="B96" s="43">
        <v>0.22008</v>
      </c>
      <c r="C96" s="151">
        <f aca="true" t="shared" si="18" ref="C96:C159">(B96-$C$4*B95)/(1-$C$4)</f>
        <v>0.12068142005908879</v>
      </c>
      <c r="D96" s="151">
        <f t="shared" si="17"/>
        <v>-1.149195385791957</v>
      </c>
      <c r="E96" s="151">
        <f t="shared" si="15"/>
        <v>0.11554528675545425</v>
      </c>
      <c r="F96" s="152">
        <f t="shared" si="16"/>
        <v>0.10751345656040698</v>
      </c>
      <c r="G96" s="154"/>
      <c r="J96" s="10">
        <v>5.798870612205453</v>
      </c>
      <c r="K96" s="10"/>
      <c r="L96"/>
    </row>
    <row r="97" spans="1:12" ht="12.75">
      <c r="A97" s="15">
        <v>32904</v>
      </c>
      <c r="B97" s="43">
        <v>0.22654</v>
      </c>
      <c r="C97" s="151">
        <f t="shared" si="18"/>
        <v>0.242258845199958</v>
      </c>
      <c r="D97" s="151">
        <f t="shared" si="17"/>
        <v>0.1773114746719238</v>
      </c>
      <c r="E97" s="151">
        <f t="shared" si="15"/>
        <v>0.23194844512078824</v>
      </c>
      <c r="F97" s="152">
        <f t="shared" si="16"/>
        <v>0.24434122082300536</v>
      </c>
      <c r="G97" s="152">
        <f>(B97-$G$4*CORREL(B60:B95,B61:B96)*B96)/(1-$G$4*CORREL(B60:B95,B61:B96))</f>
        <v>0.24480154037206325</v>
      </c>
      <c r="J97" s="10">
        <v>-3.1169585788993204</v>
      </c>
      <c r="K97" s="10"/>
      <c r="L97"/>
    </row>
    <row r="98" spans="1:12" ht="12.75">
      <c r="A98" s="15">
        <v>32932</v>
      </c>
      <c r="B98" s="43">
        <v>-0.1742</v>
      </c>
      <c r="C98" s="151">
        <f t="shared" si="18"/>
        <v>-1.1493037191069957</v>
      </c>
      <c r="D98" s="151">
        <f t="shared" si="17"/>
        <v>-2.4144014480374096</v>
      </c>
      <c r="E98" s="151">
        <f t="shared" si="15"/>
        <v>-1.1003899997887592</v>
      </c>
      <c r="F98" s="152">
        <f t="shared" si="16"/>
        <v>-2.1836572917801997</v>
      </c>
      <c r="G98" s="152">
        <f>(B98-$G$4*CORREL(B61:B96,B62:B97)*B97)/(1-$G$4*CORREL(B61:B96,B62:B97))</f>
        <v>-1.5133241124197079</v>
      </c>
      <c r="J98" s="10">
        <v>-3.8461208927729973</v>
      </c>
      <c r="K98" s="10"/>
      <c r="L98"/>
    </row>
    <row r="99" spans="1:12" ht="12.75">
      <c r="A99" s="15">
        <v>32963</v>
      </c>
      <c r="B99" s="43">
        <v>-0.14106</v>
      </c>
      <c r="C99" s="151">
        <f t="shared" si="18"/>
        <v>-0.06042183747266099</v>
      </c>
      <c r="D99" s="151">
        <f t="shared" si="17"/>
        <v>-0.7940208513972524</v>
      </c>
      <c r="E99" s="151">
        <f t="shared" si="15"/>
        <v>-0.057850318082533006</v>
      </c>
      <c r="F99" s="152">
        <f t="shared" si="16"/>
        <v>0.02511611081897447</v>
      </c>
      <c r="G99" s="152">
        <f aca="true" t="shared" si="19" ref="G99:G162">(B99-$G$4*CORREL(B62:B97,B63:B98)*B98)/(1-$G$4*CORREL(B62:B97,B63:B98))</f>
        <v>-0.014328497944090208</v>
      </c>
      <c r="J99" s="10">
        <v>-0.6522552706146434</v>
      </c>
      <c r="K99" s="10"/>
      <c r="L99"/>
    </row>
    <row r="100" spans="1:12" ht="12.75">
      <c r="A100" s="15">
        <v>32993</v>
      </c>
      <c r="B100" s="43">
        <v>-0.07169</v>
      </c>
      <c r="C100" s="151">
        <f t="shared" si="18"/>
        <v>0.09710509156673225</v>
      </c>
      <c r="D100" s="151">
        <f t="shared" si="17"/>
        <v>0.38785240103519325</v>
      </c>
      <c r="E100" s="151">
        <f t="shared" si="15"/>
        <v>0.09297235353212696</v>
      </c>
      <c r="F100" s="152">
        <f t="shared" si="16"/>
        <v>0.27615661458998964</v>
      </c>
      <c r="G100" s="152">
        <f t="shared" si="19"/>
        <v>0.23796648228565745</v>
      </c>
      <c r="J100" s="10">
        <v>-6.438014601682596</v>
      </c>
      <c r="K100" s="10"/>
      <c r="L100"/>
    </row>
    <row r="101" spans="1:12" ht="12.75">
      <c r="A101" s="15">
        <v>33024</v>
      </c>
      <c r="B101" s="43">
        <v>-1.76359</v>
      </c>
      <c r="C101" s="151">
        <f t="shared" si="18"/>
        <v>-5.880418822571059</v>
      </c>
      <c r="D101" s="151">
        <f t="shared" si="17"/>
        <v>-11.133415425892183</v>
      </c>
      <c r="E101" s="151">
        <f t="shared" si="15"/>
        <v>-5.630151507692442</v>
      </c>
      <c r="F101" s="152">
        <f t="shared" si="16"/>
        <v>-10.247396937073715</v>
      </c>
      <c r="G101" s="152">
        <f t="shared" si="19"/>
        <v>-10.290903806163678</v>
      </c>
      <c r="J101" s="10">
        <v>10.648414433068766</v>
      </c>
      <c r="K101" s="10"/>
      <c r="L101"/>
    </row>
    <row r="102" spans="1:12" ht="12.75">
      <c r="A102" s="15">
        <v>33054</v>
      </c>
      <c r="B102" s="43">
        <v>-0.50321</v>
      </c>
      <c r="C102" s="151">
        <f t="shared" si="18"/>
        <v>2.5636194292760273</v>
      </c>
      <c r="D102" s="151">
        <f t="shared" si="17"/>
        <v>3.0414396135320003</v>
      </c>
      <c r="E102" s="151">
        <f t="shared" si="15"/>
        <v>2.454513229480713</v>
      </c>
      <c r="F102" s="152">
        <f t="shared" si="16"/>
        <v>5.8167974397712445</v>
      </c>
      <c r="G102" s="152">
        <f t="shared" si="19"/>
        <v>5.9448125374651575</v>
      </c>
      <c r="J102" s="10">
        <v>1.4762960909342704</v>
      </c>
      <c r="K102" s="10"/>
      <c r="L102"/>
    </row>
    <row r="103" spans="1:12" ht="12.75">
      <c r="A103" s="15">
        <v>33085</v>
      </c>
      <c r="B103" s="43">
        <v>-0.56723</v>
      </c>
      <c r="C103" s="151">
        <f t="shared" si="18"/>
        <v>-0.7230071624924636</v>
      </c>
      <c r="D103" s="151">
        <f t="shared" si="17"/>
        <v>1.712553849680388</v>
      </c>
      <c r="E103" s="151">
        <f t="shared" si="15"/>
        <v>-0.6922363846525472</v>
      </c>
      <c r="F103" s="152">
        <f t="shared" si="16"/>
        <v>-0.888249753006359</v>
      </c>
      <c r="G103" s="152">
        <f t="shared" si="19"/>
        <v>-0.8898493891105322</v>
      </c>
      <c r="J103" s="10">
        <v>-2.0686770029369472</v>
      </c>
      <c r="K103" s="10"/>
      <c r="L103"/>
    </row>
    <row r="104" spans="1:12" ht="12.75">
      <c r="A104" s="15">
        <v>33116</v>
      </c>
      <c r="B104" s="43">
        <v>-0.7745</v>
      </c>
      <c r="C104" s="151">
        <f t="shared" si="18"/>
        <v>-1.278841338172648</v>
      </c>
      <c r="D104" s="151">
        <f t="shared" si="17"/>
        <v>-2.074258884016045</v>
      </c>
      <c r="E104" s="151">
        <f t="shared" si="15"/>
        <v>-1.224414570706396</v>
      </c>
      <c r="F104" s="152">
        <f t="shared" si="16"/>
        <v>-1.8138277757830061</v>
      </c>
      <c r="G104" s="152">
        <f t="shared" si="19"/>
        <v>-2.107204609454708</v>
      </c>
      <c r="J104" s="10">
        <v>-8.36667974369034</v>
      </c>
      <c r="K104" s="10"/>
      <c r="L104"/>
    </row>
    <row r="105" spans="1:12" ht="12.75">
      <c r="A105" s="15">
        <v>33146</v>
      </c>
      <c r="B105" s="43">
        <v>-0.79338</v>
      </c>
      <c r="C105" s="151">
        <f t="shared" si="18"/>
        <v>-0.8393199067144284</v>
      </c>
      <c r="D105" s="151">
        <f t="shared" si="17"/>
        <v>-1.333680408329145</v>
      </c>
      <c r="E105" s="151">
        <f t="shared" si="15"/>
        <v>-0.803598923955287</v>
      </c>
      <c r="F105" s="152">
        <f t="shared" si="16"/>
        <v>-0.8880512423736342</v>
      </c>
      <c r="G105" s="152">
        <f t="shared" si="19"/>
        <v>-0.932680957103027</v>
      </c>
      <c r="J105" s="10">
        <v>-8.45796704342201</v>
      </c>
      <c r="K105" s="10"/>
      <c r="L105"/>
    </row>
    <row r="106" spans="1:12" ht="12.75">
      <c r="A106" s="15">
        <v>33177</v>
      </c>
      <c r="B106" s="43">
        <v>-0.71625</v>
      </c>
      <c r="C106" s="151">
        <f t="shared" si="18"/>
        <v>-0.528572828131151</v>
      </c>
      <c r="D106" s="151">
        <f t="shared" si="17"/>
        <v>-0.3220202466068289</v>
      </c>
      <c r="E106" s="151">
        <f t="shared" si="15"/>
        <v>-0.506077066110523</v>
      </c>
      <c r="F106" s="152">
        <f t="shared" si="16"/>
        <v>-0.32949190019711844</v>
      </c>
      <c r="G106" s="152">
        <f t="shared" si="19"/>
        <v>-0.07846051941935643</v>
      </c>
      <c r="J106" s="10">
        <v>3.1688457461181985</v>
      </c>
      <c r="K106" s="10"/>
      <c r="L106"/>
    </row>
    <row r="107" spans="1:12" ht="12.75">
      <c r="A107" s="15">
        <v>33207</v>
      </c>
      <c r="B107" s="43">
        <v>-0.51799</v>
      </c>
      <c r="C107" s="151">
        <f t="shared" si="18"/>
        <v>-0.03557231434308249</v>
      </c>
      <c r="D107" s="151">
        <f t="shared" si="17"/>
        <v>0.7585558151823776</v>
      </c>
      <c r="E107" s="151">
        <f t="shared" si="15"/>
        <v>-0.03405837666903618</v>
      </c>
      <c r="F107" s="152">
        <f t="shared" si="16"/>
        <v>0.4761583322561826</v>
      </c>
      <c r="G107" s="152">
        <f t="shared" si="19"/>
        <v>1.3447484142953776</v>
      </c>
      <c r="J107" s="10">
        <v>3.9731229915278776</v>
      </c>
      <c r="K107" s="10"/>
      <c r="L107"/>
    </row>
    <row r="108" spans="1:12" ht="12.75">
      <c r="A108" s="15">
        <v>33238</v>
      </c>
      <c r="B108" s="43">
        <v>-0.78734</v>
      </c>
      <c r="C108" s="151">
        <f t="shared" si="18"/>
        <v>-1.4427379805895828</v>
      </c>
      <c r="D108" s="151">
        <f t="shared" si="17"/>
        <v>-1.8868946771654613</v>
      </c>
      <c r="E108" s="151">
        <f t="shared" si="15"/>
        <v>-1.3813358642828937</v>
      </c>
      <c r="F108" s="152">
        <f t="shared" si="16"/>
        <v>-2.1379596574861433</v>
      </c>
      <c r="G108" s="152">
        <f t="shared" si="19"/>
        <v>-3.6211193108246253</v>
      </c>
      <c r="J108" s="10">
        <v>0.013564445650193768</v>
      </c>
      <c r="K108" s="10"/>
      <c r="L108"/>
    </row>
    <row r="109" spans="1:12" ht="12.75">
      <c r="A109" s="15">
        <v>33269</v>
      </c>
      <c r="B109" s="43">
        <v>-0.77173</v>
      </c>
      <c r="C109" s="151">
        <f t="shared" si="18"/>
        <v>-0.7337468461963862</v>
      </c>
      <c r="D109" s="151">
        <f t="shared" si="17"/>
        <v>-1.2480859032672706</v>
      </c>
      <c r="E109" s="151">
        <f t="shared" si="15"/>
        <v>-0.7025189934636221</v>
      </c>
      <c r="F109" s="152">
        <f t="shared" si="16"/>
        <v>-0.6934557365756125</v>
      </c>
      <c r="G109" s="152">
        <f t="shared" si="19"/>
        <v>-0.5969274892642387</v>
      </c>
      <c r="J109" s="10">
        <v>0.3865342697989771</v>
      </c>
      <c r="K109" s="10"/>
      <c r="L109"/>
    </row>
    <row r="110" spans="1:12" ht="12.75">
      <c r="A110" s="15">
        <v>33297</v>
      </c>
      <c r="B110" s="43">
        <v>-0.4624</v>
      </c>
      <c r="C110" s="151">
        <f t="shared" si="18"/>
        <v>0.29027962626981857</v>
      </c>
      <c r="D110" s="151">
        <f t="shared" si="17"/>
        <v>1.3099434029076853</v>
      </c>
      <c r="E110" s="151">
        <f t="shared" si="15"/>
        <v>0.27792548878021156</v>
      </c>
      <c r="F110" s="152">
        <f t="shared" si="16"/>
        <v>1.0886940361989554</v>
      </c>
      <c r="G110" s="152">
        <f t="shared" si="19"/>
        <v>3.2625690551838886</v>
      </c>
      <c r="J110" s="10">
        <v>10.979116806917322</v>
      </c>
      <c r="K110" s="10"/>
      <c r="L110"/>
    </row>
    <row r="111" spans="1:12" ht="12.75">
      <c r="A111" s="15">
        <v>33328</v>
      </c>
      <c r="B111" s="43">
        <v>-0.43603</v>
      </c>
      <c r="C111" s="151">
        <f t="shared" si="18"/>
        <v>-0.3718649925815953</v>
      </c>
      <c r="D111" s="151">
        <f t="shared" si="17"/>
        <v>0.3601551691212854</v>
      </c>
      <c r="E111" s="151">
        <f t="shared" si="15"/>
        <v>-0.3560386278278579</v>
      </c>
      <c r="F111" s="152">
        <f t="shared" si="16"/>
        <v>-0.3038011514092832</v>
      </c>
      <c r="G111" s="152">
        <f t="shared" si="19"/>
        <v>-0.06584364546851576</v>
      </c>
      <c r="J111" s="10">
        <v>3.7669237658803034</v>
      </c>
      <c r="K111" s="10"/>
      <c r="L111"/>
    </row>
    <row r="112" spans="1:12" ht="12.75">
      <c r="A112" s="15">
        <v>33358</v>
      </c>
      <c r="B112" s="43">
        <v>-0.34219</v>
      </c>
      <c r="C112" s="151">
        <f t="shared" si="18"/>
        <v>-0.11385309077955665</v>
      </c>
      <c r="D112" s="151">
        <f t="shared" si="17"/>
        <v>0.2407902879622267</v>
      </c>
      <c r="E112" s="151">
        <f t="shared" si="15"/>
        <v>-0.10900756732625048</v>
      </c>
      <c r="F112" s="152">
        <f t="shared" si="16"/>
        <v>0.12835816654352913</v>
      </c>
      <c r="G112" s="152">
        <f t="shared" si="19"/>
        <v>1.0812354201457277</v>
      </c>
      <c r="J112" s="10">
        <v>0.789387679853859</v>
      </c>
      <c r="K112" s="10"/>
      <c r="L112"/>
    </row>
    <row r="113" spans="1:12" ht="12.75">
      <c r="A113" s="15">
        <v>33389</v>
      </c>
      <c r="B113" s="43">
        <v>0.07751</v>
      </c>
      <c r="C113" s="151">
        <f t="shared" si="18"/>
        <v>1.0987482864430955</v>
      </c>
      <c r="D113" s="151">
        <f t="shared" si="17"/>
        <v>2.6344163626539707</v>
      </c>
      <c r="E113" s="151">
        <f t="shared" si="15"/>
        <v>1.0519861778803306</v>
      </c>
      <c r="F113" s="152">
        <f t="shared" si="16"/>
        <v>2.1820396834859257</v>
      </c>
      <c r="G113" s="152">
        <f t="shared" si="19"/>
        <v>7.6810377905370375</v>
      </c>
      <c r="J113" s="10">
        <v>-0.07482851797965262</v>
      </c>
      <c r="K113" s="10"/>
      <c r="L113"/>
    </row>
    <row r="114" spans="1:12" ht="12.75">
      <c r="A114" s="15">
        <v>33419</v>
      </c>
      <c r="B114" s="43">
        <v>0.18027</v>
      </c>
      <c r="C114" s="151">
        <f t="shared" si="18"/>
        <v>0.4303115685367942</v>
      </c>
      <c r="D114" s="151">
        <f t="shared" si="17"/>
        <v>1.637233407263422</v>
      </c>
      <c r="E114" s="151">
        <f t="shared" si="15"/>
        <v>0.41199775041119624</v>
      </c>
      <c r="F114" s="152">
        <f t="shared" si="16"/>
        <v>0.6955463170717507</v>
      </c>
      <c r="G114" s="152">
        <f t="shared" si="19"/>
        <v>1.895206709412168</v>
      </c>
      <c r="J114" s="10">
        <v>-3.3831176935557594</v>
      </c>
      <c r="K114" s="10"/>
      <c r="L114"/>
    </row>
    <row r="115" spans="1:12" ht="12.75">
      <c r="A115" s="15">
        <v>33450</v>
      </c>
      <c r="B115" s="43">
        <v>-0.3984</v>
      </c>
      <c r="C115" s="151">
        <f t="shared" si="18"/>
        <v>-1.8064532742816917</v>
      </c>
      <c r="D115" s="151">
        <f t="shared" si="17"/>
        <v>-3.437569013136709</v>
      </c>
      <c r="E115" s="151">
        <f t="shared" si="15"/>
        <v>-1.7295716398183667</v>
      </c>
      <c r="F115" s="152">
        <f t="shared" si="16"/>
        <v>-3.3000635500185864</v>
      </c>
      <c r="G115" s="152">
        <f t="shared" si="19"/>
        <v>-9.525472058344633</v>
      </c>
      <c r="J115" s="10">
        <v>6.433055744537941</v>
      </c>
      <c r="K115" s="10"/>
      <c r="L115"/>
    </row>
    <row r="116" spans="1:12" ht="12.75">
      <c r="A116" s="15">
        <v>33481</v>
      </c>
      <c r="B116" s="43">
        <v>0.16523</v>
      </c>
      <c r="C116" s="151">
        <f t="shared" si="18"/>
        <v>1.536687077407486</v>
      </c>
      <c r="D116" s="151">
        <f t="shared" si="17"/>
        <v>2.123036177176241</v>
      </c>
      <c r="E116" s="151">
        <f t="shared" si="15"/>
        <v>1.4712865404261264</v>
      </c>
      <c r="F116" s="152">
        <f t="shared" si="16"/>
        <v>2.991477475585352</v>
      </c>
      <c r="G116" s="152">
        <f t="shared" si="19"/>
        <v>7.978643224977827</v>
      </c>
      <c r="J116" s="10">
        <v>2.6466756750196163</v>
      </c>
      <c r="K116" s="10"/>
      <c r="L116"/>
    </row>
    <row r="117" spans="1:12" ht="12.75">
      <c r="A117" s="15">
        <v>33511</v>
      </c>
      <c r="B117" s="43">
        <v>0.18437</v>
      </c>
      <c r="C117" s="151">
        <f t="shared" si="18"/>
        <v>0.2309425537348603</v>
      </c>
      <c r="D117" s="151">
        <f t="shared" si="17"/>
        <v>1.4725177975196329</v>
      </c>
      <c r="E117" s="151">
        <f t="shared" si="15"/>
        <v>0.22111376865026938</v>
      </c>
      <c r="F117" s="152">
        <f t="shared" si="16"/>
        <v>0.28034497770293226</v>
      </c>
      <c r="G117" s="152">
        <f t="shared" si="19"/>
        <v>0.4174300851913886</v>
      </c>
      <c r="J117" s="10">
        <v>-0.20810342109411906</v>
      </c>
      <c r="K117" s="10"/>
      <c r="L117"/>
    </row>
    <row r="118" spans="1:12" ht="12.75">
      <c r="A118" s="15">
        <v>33542</v>
      </c>
      <c r="B118" s="43">
        <v>0.25738</v>
      </c>
      <c r="C118" s="151">
        <f t="shared" si="18"/>
        <v>0.4350321498527768</v>
      </c>
      <c r="D118" s="151">
        <f t="shared" si="17"/>
        <v>0.7080709144942652</v>
      </c>
      <c r="E118" s="151">
        <f t="shared" si="15"/>
        <v>0.41651742644368395</v>
      </c>
      <c r="F118" s="152">
        <f t="shared" si="16"/>
        <v>0.4585668625832237</v>
      </c>
      <c r="G118" s="152">
        <f t="shared" si="19"/>
        <v>1.0765652461523265</v>
      </c>
      <c r="J118" s="10">
        <v>-2.15883598217953</v>
      </c>
      <c r="K118" s="10"/>
      <c r="L118"/>
    </row>
    <row r="119" spans="1:12" ht="12.75">
      <c r="A119" s="15">
        <v>33572</v>
      </c>
      <c r="B119" s="43">
        <v>0.50726</v>
      </c>
      <c r="C119" s="151">
        <f t="shared" si="18"/>
        <v>1.1152824517903281</v>
      </c>
      <c r="D119" s="151">
        <f t="shared" si="17"/>
        <v>2.0654836113057926</v>
      </c>
      <c r="E119" s="151">
        <f t="shared" si="15"/>
        <v>1.0678166584578104</v>
      </c>
      <c r="F119" s="152">
        <f t="shared" si="16"/>
        <v>1.1958310618038068</v>
      </c>
      <c r="G119" s="152">
        <f t="shared" si="19"/>
        <v>3.0705838140043404</v>
      </c>
      <c r="J119" s="10">
        <v>-5.625570186415629</v>
      </c>
      <c r="K119" s="10"/>
      <c r="L119"/>
    </row>
    <row r="120" spans="1:12" ht="12.75">
      <c r="A120" s="15">
        <v>33603</v>
      </c>
      <c r="B120" s="43">
        <v>0.29916</v>
      </c>
      <c r="C120" s="151">
        <f t="shared" si="18"/>
        <v>-0.2072009421224881</v>
      </c>
      <c r="D120" s="151">
        <f t="shared" si="17"/>
        <v>-0.3478127501954519</v>
      </c>
      <c r="E120" s="151">
        <f t="shared" si="15"/>
        <v>-0.19838258666347297</v>
      </c>
      <c r="F120" s="152">
        <f t="shared" si="16"/>
        <v>-0.27428180391136653</v>
      </c>
      <c r="G120" s="152">
        <f t="shared" si="19"/>
        <v>-1.6273022122024892</v>
      </c>
      <c r="J120" s="10">
        <v>1.6040035929680396</v>
      </c>
      <c r="K120" s="10"/>
      <c r="L120"/>
    </row>
    <row r="121" spans="1:12" ht="12.75">
      <c r="A121" s="15">
        <v>33634</v>
      </c>
      <c r="B121" s="43">
        <v>0.34939</v>
      </c>
      <c r="C121" s="151">
        <f t="shared" si="18"/>
        <v>0.47161253783187196</v>
      </c>
      <c r="D121" s="151">
        <f t="shared" si="17"/>
        <v>0.19602064159673271</v>
      </c>
      <c r="E121" s="151">
        <f t="shared" si="15"/>
        <v>0.4515409737022497</v>
      </c>
      <c r="F121" s="152">
        <f t="shared" si="16"/>
        <v>0.487804136523152</v>
      </c>
      <c r="G121" s="152">
        <f t="shared" si="19"/>
        <v>0.7645300541211728</v>
      </c>
      <c r="J121" s="10">
        <v>3.379641323566518</v>
      </c>
      <c r="K121" s="10"/>
      <c r="L121"/>
    </row>
    <row r="122" spans="1:12" ht="12.75">
      <c r="A122" s="15">
        <v>33663</v>
      </c>
      <c r="B122" s="43">
        <v>0.01085</v>
      </c>
      <c r="C122" s="151">
        <f t="shared" si="18"/>
        <v>-0.8129050857575543</v>
      </c>
      <c r="D122" s="151">
        <f t="shared" si="17"/>
        <v>-1.7878683782415183</v>
      </c>
      <c r="E122" s="151">
        <f t="shared" si="15"/>
        <v>-0.7783083029088856</v>
      </c>
      <c r="F122" s="152">
        <f t="shared" si="16"/>
        <v>-1.686713686078926</v>
      </c>
      <c r="G122" s="152">
        <f t="shared" si="19"/>
        <v>-2.737404933711911</v>
      </c>
      <c r="J122" s="11">
        <v>0.1628876726609496</v>
      </c>
      <c r="K122" s="10"/>
      <c r="L122"/>
    </row>
    <row r="123" spans="1:12" ht="12.75">
      <c r="A123" s="15">
        <v>33694</v>
      </c>
      <c r="B123" s="43">
        <v>-0.06207</v>
      </c>
      <c r="C123" s="151">
        <f t="shared" si="18"/>
        <v>-0.23950315665339653</v>
      </c>
      <c r="D123" s="151">
        <f t="shared" si="17"/>
        <v>-1.1812283353684876</v>
      </c>
      <c r="E123" s="151">
        <f t="shared" si="15"/>
        <v>-0.22931003712753406</v>
      </c>
      <c r="F123" s="152">
        <f t="shared" si="16"/>
        <v>-0.4277176162015575</v>
      </c>
      <c r="G123" s="152">
        <f t="shared" si="19"/>
        <v>-0.6048415930304013</v>
      </c>
      <c r="J123" s="5">
        <v>-4.7266311064853905</v>
      </c>
      <c r="K123" s="10"/>
      <c r="L123"/>
    </row>
    <row r="124" spans="1:12" ht="12.75">
      <c r="A124" s="15">
        <v>33724</v>
      </c>
      <c r="B124" s="43">
        <v>0.18786</v>
      </c>
      <c r="C124" s="151">
        <f t="shared" si="18"/>
        <v>0.7960041146788727</v>
      </c>
      <c r="D124" s="151">
        <f t="shared" si="17"/>
        <v>1.440718866191269</v>
      </c>
      <c r="E124" s="151">
        <f t="shared" si="15"/>
        <v>0.7621266276454047</v>
      </c>
      <c r="F124" s="152">
        <f t="shared" si="16"/>
        <v>1.4411006571208897</v>
      </c>
      <c r="G124" s="152">
        <f t="shared" si="19"/>
        <v>1.883966893996613</v>
      </c>
      <c r="J124" s="5">
        <v>9.476747659403784</v>
      </c>
      <c r="K124" s="10"/>
      <c r="L124"/>
    </row>
    <row r="125" spans="1:12" ht="12.75">
      <c r="A125" s="15">
        <v>33755</v>
      </c>
      <c r="B125" s="43">
        <v>0.30139</v>
      </c>
      <c r="C125" s="151">
        <f t="shared" si="18"/>
        <v>0.5776377547292938</v>
      </c>
      <c r="D125" s="151">
        <f t="shared" si="17"/>
        <v>1.4633449845376427</v>
      </c>
      <c r="E125" s="151">
        <f t="shared" si="15"/>
        <v>0.5530538170523162</v>
      </c>
      <c r="F125" s="152">
        <f aca="true" t="shared" si="20" ref="F125:F188">IF($B125&gt;$H$4,(B125-$F$4*B124)/(1-$F$4),IF(B125&gt;$H$5,(B125-$F$5*B124)/(1-$F$5),IF(B125&gt;$H$6,(B125-$F$6*B124)/(1-$F$6),IF(B125&gt;$H$7,(B125-$F$7*B124)/(1-$F$7),IF(B125&gt;$H$8,(B125-$F$8*B124)/(1-$F$8),(B125-$F$9*B124)/(1-$F$9))))))</f>
        <v>0.6142340557330966</v>
      </c>
      <c r="G125" s="152">
        <f t="shared" si="19"/>
        <v>0.9759419820801742</v>
      </c>
      <c r="J125" s="5">
        <v>2.263886182030772</v>
      </c>
      <c r="K125" s="10"/>
      <c r="L125"/>
    </row>
    <row r="126" spans="1:12" ht="12.75">
      <c r="A126" s="15">
        <v>33785</v>
      </c>
      <c r="B126" s="43">
        <v>-0.10321</v>
      </c>
      <c r="C126" s="151">
        <f t="shared" si="18"/>
        <v>-1.0877060941026362</v>
      </c>
      <c r="D126" s="151">
        <f t="shared" si="17"/>
        <v>-2.1408649440285963</v>
      </c>
      <c r="E126" s="151">
        <f aca="true" t="shared" si="21" ref="E126:E189">((B126-$E$4*B125)/(1-$E$4))/$E$6</f>
        <v>-1.0414139350300016</v>
      </c>
      <c r="F126" s="152">
        <f t="shared" si="20"/>
        <v>-2.1320227470536226</v>
      </c>
      <c r="G126" s="152">
        <f t="shared" si="19"/>
        <v>-2.168486622287394</v>
      </c>
      <c r="J126" s="5">
        <v>-7.254972213540278</v>
      </c>
      <c r="K126" s="10"/>
      <c r="L126"/>
    </row>
    <row r="127" spans="1:12" ht="12.75">
      <c r="A127" s="15">
        <v>33816</v>
      </c>
      <c r="B127" s="43">
        <v>0.10786</v>
      </c>
      <c r="C127" s="151">
        <f t="shared" si="18"/>
        <v>0.6214477177020352</v>
      </c>
      <c r="D127" s="151">
        <f t="shared" si="17"/>
        <v>0.44747947886295064</v>
      </c>
      <c r="E127" s="151">
        <f t="shared" si="21"/>
        <v>0.5949992526624767</v>
      </c>
      <c r="F127" s="152">
        <f t="shared" si="20"/>
        <v>1.1662423690573607</v>
      </c>
      <c r="G127" s="152">
        <f t="shared" si="19"/>
        <v>0.9686755748773369</v>
      </c>
      <c r="J127" s="5">
        <v>-6.03968371389586</v>
      </c>
      <c r="K127" s="10"/>
      <c r="L127"/>
    </row>
    <row r="128" spans="1:12" ht="12.75">
      <c r="A128" s="15">
        <v>33847</v>
      </c>
      <c r="B128" s="43">
        <v>-0.26981</v>
      </c>
      <c r="C128" s="151">
        <f t="shared" si="18"/>
        <v>-1.1887784623325324</v>
      </c>
      <c r="D128" s="151">
        <f t="shared" si="17"/>
        <v>-1.9517180827841383</v>
      </c>
      <c r="E128" s="151">
        <f t="shared" si="21"/>
        <v>-1.1381847201637707</v>
      </c>
      <c r="F128" s="152">
        <f t="shared" si="20"/>
        <v>-2.1635858531382643</v>
      </c>
      <c r="G128" s="152">
        <f t="shared" si="19"/>
        <v>-1.4833039760218276</v>
      </c>
      <c r="J128" s="5">
        <v>-4.0371258113616975</v>
      </c>
      <c r="K128" s="10"/>
      <c r="L128"/>
    </row>
    <row r="129" spans="1:12" ht="12.75">
      <c r="A129" s="15">
        <v>33877</v>
      </c>
      <c r="B129" s="43">
        <v>-0.65303</v>
      </c>
      <c r="C129" s="151">
        <f t="shared" si="18"/>
        <v>-1.5855030429609793</v>
      </c>
      <c r="D129" s="151">
        <f aca="true" t="shared" si="22" ref="D129:D192">(B129-($D$4*B128+$D$5*B127+$D$6*B126))/(1-$D$4-$D$5-$D$6)</f>
        <v>-3.5992488693724476</v>
      </c>
      <c r="E129" s="151">
        <f t="shared" si="21"/>
        <v>-1.518024925965185</v>
      </c>
      <c r="F129" s="152">
        <f t="shared" si="20"/>
        <v>-2.574635588052124</v>
      </c>
      <c r="G129" s="152">
        <f t="shared" si="19"/>
        <v>-1.5799787058576547</v>
      </c>
      <c r="J129" s="5">
        <v>9.951777135616545</v>
      </c>
      <c r="K129" s="10"/>
      <c r="L129"/>
    </row>
    <row r="130" spans="1:12" ht="12.75">
      <c r="A130" s="15">
        <v>33908</v>
      </c>
      <c r="B130" s="43">
        <v>0.01977</v>
      </c>
      <c r="C130" s="151">
        <f t="shared" si="18"/>
        <v>1.6568658282556938</v>
      </c>
      <c r="D130" s="151">
        <f t="shared" si="22"/>
        <v>3.0009041474710236</v>
      </c>
      <c r="E130" s="151">
        <f t="shared" si="21"/>
        <v>1.586350551289352</v>
      </c>
      <c r="F130" s="152">
        <f t="shared" si="20"/>
        <v>3.3934358828909477</v>
      </c>
      <c r="G130" s="152">
        <f t="shared" si="19"/>
        <v>1.209076139014118</v>
      </c>
      <c r="J130" s="5">
        <v>4.187669960867546</v>
      </c>
      <c r="K130" s="10"/>
      <c r="L130"/>
    </row>
    <row r="131" spans="1:12" ht="12.75">
      <c r="A131" s="15">
        <v>33938</v>
      </c>
      <c r="B131" s="43">
        <v>0.0645</v>
      </c>
      <c r="C131" s="151">
        <f t="shared" si="18"/>
        <v>0.17333962009196965</v>
      </c>
      <c r="D131" s="151">
        <f t="shared" si="22"/>
        <v>1.7252172800691519</v>
      </c>
      <c r="E131" s="151">
        <f t="shared" si="21"/>
        <v>0.16596238343733127</v>
      </c>
      <c r="F131" s="152">
        <f t="shared" si="20"/>
        <v>0.28879262030575525</v>
      </c>
      <c r="G131" s="152">
        <f t="shared" si="19"/>
        <v>0.12122142640072546</v>
      </c>
      <c r="J131" s="5">
        <v>4.484072986543808</v>
      </c>
      <c r="K131" s="10"/>
      <c r="L131"/>
    </row>
    <row r="132" spans="1:12" ht="12.75">
      <c r="A132" s="15">
        <v>33969</v>
      </c>
      <c r="B132" s="43">
        <v>-0.03279</v>
      </c>
      <c r="C132" s="151">
        <f t="shared" si="18"/>
        <v>-0.26952164853001853</v>
      </c>
      <c r="D132" s="151">
        <f t="shared" si="22"/>
        <v>-0.486256044383706</v>
      </c>
      <c r="E132" s="151">
        <f t="shared" si="21"/>
        <v>-0.2580509588879202</v>
      </c>
      <c r="F132" s="152">
        <f t="shared" si="20"/>
        <v>-0.5206377314899827</v>
      </c>
      <c r="G132" s="152">
        <f t="shared" si="19"/>
        <v>-0.1495204250332583</v>
      </c>
      <c r="J132" s="5">
        <v>3.8666585429010913</v>
      </c>
      <c r="K132" s="10"/>
      <c r="L132"/>
    </row>
    <row r="133" spans="1:12" ht="12.75">
      <c r="A133" s="15">
        <v>34000</v>
      </c>
      <c r="B133" s="43">
        <v>0.19183</v>
      </c>
      <c r="C133" s="151">
        <f t="shared" si="18"/>
        <v>0.7383883604976128</v>
      </c>
      <c r="D133" s="151">
        <f t="shared" si="22"/>
        <v>1.2513051004558073</v>
      </c>
      <c r="E133" s="151">
        <f t="shared" si="21"/>
        <v>0.7069629675289935</v>
      </c>
      <c r="F133" s="152">
        <f t="shared" si="20"/>
        <v>1.3181570371803877</v>
      </c>
      <c r="G133" s="152">
        <f t="shared" si="19"/>
        <v>0.45151067750574614</v>
      </c>
      <c r="J133" s="5">
        <v>0.0395955389026037</v>
      </c>
      <c r="K133" s="10"/>
      <c r="L133"/>
    </row>
    <row r="134" spans="1:12" ht="12.75">
      <c r="A134" s="15">
        <v>34028</v>
      </c>
      <c r="B134" s="43">
        <v>0.12638</v>
      </c>
      <c r="C134" s="151">
        <f t="shared" si="18"/>
        <v>-0.032876721104838275</v>
      </c>
      <c r="D134" s="151">
        <f t="shared" si="22"/>
        <v>0.22875385622281727</v>
      </c>
      <c r="E134" s="151">
        <f t="shared" si="21"/>
        <v>-0.031477506361606164</v>
      </c>
      <c r="F134" s="152">
        <f t="shared" si="20"/>
        <v>-0.20181029731749792</v>
      </c>
      <c r="G134" s="152">
        <f t="shared" si="19"/>
        <v>0.0534222995573488</v>
      </c>
      <c r="J134" s="5">
        <v>2.360132812442761</v>
      </c>
      <c r="K134" s="10"/>
      <c r="L134"/>
    </row>
    <row r="135" spans="1:12" ht="12.75">
      <c r="A135" s="15">
        <v>34059</v>
      </c>
      <c r="B135" s="43">
        <v>0.51277</v>
      </c>
      <c r="C135" s="151">
        <f t="shared" si="18"/>
        <v>1.4529564700947049</v>
      </c>
      <c r="D135" s="151">
        <f t="shared" si="22"/>
        <v>2.5487153649565615</v>
      </c>
      <c r="E135" s="151">
        <f t="shared" si="21"/>
        <v>1.3911194606268777</v>
      </c>
      <c r="F135" s="152">
        <f t="shared" si="20"/>
        <v>1.5775089649846843</v>
      </c>
      <c r="G135" s="152">
        <f t="shared" si="19"/>
        <v>0.966737258846625</v>
      </c>
      <c r="J135" s="5">
        <v>0.8263338417362931</v>
      </c>
      <c r="K135" s="10"/>
      <c r="L135"/>
    </row>
    <row r="136" spans="1:12" ht="12.75">
      <c r="A136" s="15">
        <v>34089</v>
      </c>
      <c r="B136" s="43">
        <v>0.55674</v>
      </c>
      <c r="C136" s="151">
        <f t="shared" si="18"/>
        <v>0.6637303441860923</v>
      </c>
      <c r="D136" s="151">
        <f t="shared" si="22"/>
        <v>1.6133060733490707</v>
      </c>
      <c r="E136" s="151">
        <f t="shared" si="21"/>
        <v>0.6354823543651418</v>
      </c>
      <c r="F136" s="152">
        <f t="shared" si="20"/>
        <v>0.677904037087856</v>
      </c>
      <c r="G136" s="152">
        <f t="shared" si="19"/>
        <v>0.610306226034108</v>
      </c>
      <c r="J136" s="5">
        <v>-1.3628583806202688</v>
      </c>
      <c r="K136" s="10"/>
      <c r="L136"/>
    </row>
    <row r="137" spans="1:12" ht="12.75">
      <c r="A137" s="15">
        <v>34120</v>
      </c>
      <c r="B137" s="43">
        <v>0.70294</v>
      </c>
      <c r="C137" s="151">
        <f t="shared" si="18"/>
        <v>1.058682286104314</v>
      </c>
      <c r="D137" s="151">
        <f t="shared" si="22"/>
        <v>1.6172516672330597</v>
      </c>
      <c r="E137" s="151">
        <f t="shared" si="21"/>
        <v>1.013625363961983</v>
      </c>
      <c r="F137" s="152">
        <f t="shared" si="20"/>
        <v>0.9559006745295926</v>
      </c>
      <c r="G137" s="152">
        <f t="shared" si="19"/>
        <v>0.9021996802738012</v>
      </c>
      <c r="J137" s="5">
        <v>1.0468867000748894</v>
      </c>
      <c r="K137" s="10"/>
      <c r="L137"/>
    </row>
    <row r="138" spans="1:12" ht="12.75">
      <c r="A138" s="15">
        <v>34150</v>
      </c>
      <c r="B138" s="43">
        <v>1.23942</v>
      </c>
      <c r="C138" s="151">
        <f t="shared" si="18"/>
        <v>2.544814128927786</v>
      </c>
      <c r="D138" s="151">
        <f t="shared" si="22"/>
        <v>4.56275475467242</v>
      </c>
      <c r="E138" s="151">
        <f t="shared" si="21"/>
        <v>2.4365082721293985</v>
      </c>
      <c r="F138" s="152">
        <f t="shared" si="20"/>
        <v>1.9917234182254726</v>
      </c>
      <c r="G138" s="152">
        <f t="shared" si="19"/>
        <v>2.767715441885509</v>
      </c>
      <c r="J138" s="5">
        <v>2.0585427028259495</v>
      </c>
      <c r="K138" s="10"/>
      <c r="L138"/>
    </row>
    <row r="139" spans="1:12" ht="12.75">
      <c r="A139" s="15">
        <v>34181</v>
      </c>
      <c r="B139" s="43">
        <v>1.24876</v>
      </c>
      <c r="C139" s="151">
        <f t="shared" si="18"/>
        <v>1.2714866275801255</v>
      </c>
      <c r="D139" s="151">
        <f t="shared" si="22"/>
        <v>2.4249284838376908</v>
      </c>
      <c r="E139" s="151">
        <f t="shared" si="21"/>
        <v>1.217372872456572</v>
      </c>
      <c r="F139" s="152">
        <f t="shared" si="20"/>
        <v>1.2618574387232069</v>
      </c>
      <c r="G139" s="152">
        <f t="shared" si="19"/>
        <v>1.2893124745737985</v>
      </c>
      <c r="J139" s="5">
        <v>1.1484943901808764</v>
      </c>
      <c r="K139" s="10"/>
      <c r="L139"/>
    </row>
    <row r="140" spans="1:12" ht="12.75">
      <c r="A140" s="15">
        <v>34212</v>
      </c>
      <c r="B140" s="43">
        <v>1.12157</v>
      </c>
      <c r="C140" s="151">
        <f t="shared" si="18"/>
        <v>0.81208394412033</v>
      </c>
      <c r="D140" s="151">
        <f t="shared" si="22"/>
        <v>0.42582531950199204</v>
      </c>
      <c r="E140" s="151">
        <f t="shared" si="21"/>
        <v>0.7775221085975039</v>
      </c>
      <c r="F140" s="152">
        <f t="shared" si="20"/>
        <v>0.9432120523335482</v>
      </c>
      <c r="G140" s="152">
        <f t="shared" si="19"/>
        <v>0.441430319126265</v>
      </c>
      <c r="J140" s="5">
        <v>6.105221016593498</v>
      </c>
      <c r="K140" s="10"/>
      <c r="L140"/>
    </row>
    <row r="141" spans="1:12" ht="12.75">
      <c r="A141" s="15">
        <v>34242</v>
      </c>
      <c r="B141" s="43">
        <v>1.48285</v>
      </c>
      <c r="C141" s="151">
        <f t="shared" si="18"/>
        <v>2.3619373674676236</v>
      </c>
      <c r="D141" s="151">
        <f t="shared" si="22"/>
        <v>3.248266057162612</v>
      </c>
      <c r="E141" s="151">
        <f t="shared" si="21"/>
        <v>2.2614146426918498</v>
      </c>
      <c r="F141" s="152">
        <f t="shared" si="20"/>
        <v>2.263890361056507</v>
      </c>
      <c r="G141" s="152">
        <f t="shared" si="19"/>
        <v>3.6573502869133208</v>
      </c>
      <c r="J141" s="5">
        <v>-1.9945225440896053</v>
      </c>
      <c r="K141" s="10"/>
      <c r="L141"/>
    </row>
    <row r="142" spans="1:12" ht="12.75">
      <c r="A142" s="15">
        <v>34273</v>
      </c>
      <c r="B142" s="43">
        <v>1.64053</v>
      </c>
      <c r="C142" s="151">
        <f t="shared" si="18"/>
        <v>2.024206085314147</v>
      </c>
      <c r="D142" s="151">
        <f t="shared" si="22"/>
        <v>3.284000459484549</v>
      </c>
      <c r="E142" s="151">
        <f t="shared" si="21"/>
        <v>1.9380570137908648</v>
      </c>
      <c r="F142" s="152">
        <f t="shared" si="20"/>
        <v>1.9814136473964514</v>
      </c>
      <c r="G142" s="152">
        <f t="shared" si="19"/>
        <v>2.6594022041350596</v>
      </c>
      <c r="J142" s="5">
        <v>3.90428462380934</v>
      </c>
      <c r="K142" s="10"/>
      <c r="L142"/>
    </row>
    <row r="143" spans="1:12" ht="12.75">
      <c r="A143" s="15">
        <v>34303</v>
      </c>
      <c r="B143" s="43">
        <v>2.81622</v>
      </c>
      <c r="C143" s="151">
        <f t="shared" si="18"/>
        <v>5.676976828659239</v>
      </c>
      <c r="D143" s="151">
        <f t="shared" si="22"/>
        <v>9.758468391192485</v>
      </c>
      <c r="E143" s="151">
        <f t="shared" si="21"/>
        <v>5.435367890519781</v>
      </c>
      <c r="F143" s="152">
        <f t="shared" si="20"/>
        <v>7.0767805325681135</v>
      </c>
      <c r="G143" s="152">
        <f t="shared" si="19"/>
        <v>11.514288454481399</v>
      </c>
      <c r="J143" s="5">
        <v>-0.5698333301391911</v>
      </c>
      <c r="K143" s="10"/>
      <c r="L143"/>
    </row>
    <row r="144" spans="1:12" ht="12.75">
      <c r="A144" s="15">
        <v>34334</v>
      </c>
      <c r="B144" s="43">
        <v>3.60585</v>
      </c>
      <c r="C144" s="151">
        <f t="shared" si="18"/>
        <v>5.52722333362893</v>
      </c>
      <c r="D144" s="151">
        <f t="shared" si="22"/>
        <v>10.509116835624294</v>
      </c>
      <c r="E144" s="151">
        <f t="shared" si="21"/>
        <v>5.291987819938607</v>
      </c>
      <c r="F144" s="152">
        <f t="shared" si="20"/>
        <v>6.4673750732180775</v>
      </c>
      <c r="G144" s="152">
        <f t="shared" si="19"/>
        <v>9.842450734251496</v>
      </c>
      <c r="J144" s="5">
        <v>8.077355520575669</v>
      </c>
      <c r="K144" s="10"/>
      <c r="L144"/>
    </row>
    <row r="145" spans="1:12" ht="12.75">
      <c r="A145" s="15">
        <v>34365</v>
      </c>
      <c r="B145" s="43">
        <v>1.93622</v>
      </c>
      <c r="C145" s="151">
        <f t="shared" si="18"/>
        <v>-2.1264201720133094</v>
      </c>
      <c r="D145" s="151">
        <f t="shared" si="22"/>
        <v>-5.799797977444252</v>
      </c>
      <c r="E145" s="151">
        <f t="shared" si="21"/>
        <v>-2.0359209264985454</v>
      </c>
      <c r="F145" s="152">
        <f t="shared" si="20"/>
        <v>-4.114320263157551</v>
      </c>
      <c r="G145" s="152">
        <f t="shared" si="19"/>
        <v>-18.77080571480161</v>
      </c>
      <c r="J145" s="5">
        <v>3.791531176991625</v>
      </c>
      <c r="K145" s="10"/>
      <c r="L145"/>
    </row>
    <row r="146" spans="1:12" ht="12.75">
      <c r="A146" s="15">
        <v>34393</v>
      </c>
      <c r="B146" s="43">
        <v>2.5756</v>
      </c>
      <c r="C146" s="151">
        <f t="shared" si="18"/>
        <v>4.131376353552505</v>
      </c>
      <c r="D146" s="151">
        <f t="shared" si="22"/>
        <v>2.6744359993240887</v>
      </c>
      <c r="E146" s="151">
        <f t="shared" si="21"/>
        <v>3.95554730158295</v>
      </c>
      <c r="F146" s="152">
        <f t="shared" si="20"/>
        <v>4.892636968344887</v>
      </c>
      <c r="G146" s="152">
        <f t="shared" si="19"/>
        <v>6.79890515931481</v>
      </c>
      <c r="J146" s="5">
        <v>-4.035625304275614</v>
      </c>
      <c r="K146" s="10"/>
      <c r="L146"/>
    </row>
    <row r="147" spans="1:12" ht="12.75">
      <c r="A147" s="15">
        <v>34424</v>
      </c>
      <c r="B147" s="43">
        <v>3.1256</v>
      </c>
      <c r="C147" s="151">
        <f t="shared" si="18"/>
        <v>4.463891773990237</v>
      </c>
      <c r="D147" s="151">
        <f t="shared" si="22"/>
        <v>7.557920713689882</v>
      </c>
      <c r="E147" s="151">
        <f t="shared" si="21"/>
        <v>4.273911052906695</v>
      </c>
      <c r="F147" s="152">
        <f t="shared" si="20"/>
        <v>5.11873449371217</v>
      </c>
      <c r="G147" s="152">
        <f t="shared" si="19"/>
        <v>6.94615060090678</v>
      </c>
      <c r="J147" s="5">
        <v>-6.775331395591733</v>
      </c>
      <c r="K147" s="10"/>
      <c r="L147"/>
    </row>
    <row r="148" spans="1:12" ht="12.75">
      <c r="A148" s="15">
        <v>34454</v>
      </c>
      <c r="B148" s="43">
        <v>1.68345</v>
      </c>
      <c r="C148" s="151">
        <f t="shared" si="18"/>
        <v>-1.8256726942909471</v>
      </c>
      <c r="D148" s="151">
        <f t="shared" si="22"/>
        <v>-5.27513524705207</v>
      </c>
      <c r="E148" s="151">
        <f t="shared" si="21"/>
        <v>-1.7479730921310392</v>
      </c>
      <c r="F148" s="152">
        <f t="shared" si="20"/>
        <v>-1.4342906905935604</v>
      </c>
      <c r="G148" s="152">
        <f t="shared" si="19"/>
        <v>-9.75278521798298</v>
      </c>
      <c r="J148" s="5">
        <v>1.182481097588295</v>
      </c>
      <c r="K148" s="10"/>
      <c r="L148"/>
    </row>
    <row r="149" spans="1:12" ht="12.75">
      <c r="A149" s="15">
        <v>34485</v>
      </c>
      <c r="B149" s="43">
        <v>1.18644</v>
      </c>
      <c r="C149" s="151">
        <f t="shared" si="18"/>
        <v>-0.022913444710704722</v>
      </c>
      <c r="D149" s="151">
        <f t="shared" si="22"/>
        <v>-4.629246246011377</v>
      </c>
      <c r="E149" s="151">
        <f t="shared" si="21"/>
        <v>-0.021938261402271522</v>
      </c>
      <c r="F149" s="152">
        <f t="shared" si="20"/>
        <v>0.48948517989069096</v>
      </c>
      <c r="G149" s="152">
        <f t="shared" si="19"/>
        <v>-1.9309349112188874</v>
      </c>
      <c r="J149" s="5">
        <v>-5.012528156715856</v>
      </c>
      <c r="K149" s="10"/>
      <c r="L149"/>
    </row>
    <row r="150" spans="1:12" ht="12.75">
      <c r="A150" s="15">
        <v>34515</v>
      </c>
      <c r="B150" s="43">
        <v>0.94314</v>
      </c>
      <c r="C150" s="151">
        <f t="shared" si="18"/>
        <v>0.351128384342137</v>
      </c>
      <c r="D150" s="151">
        <f t="shared" si="22"/>
        <v>-1.4661332735409889</v>
      </c>
      <c r="E150" s="151">
        <f t="shared" si="21"/>
        <v>0.3361845579620031</v>
      </c>
      <c r="F150" s="152">
        <f t="shared" si="20"/>
        <v>0.5221732960803702</v>
      </c>
      <c r="G150" s="152">
        <f t="shared" si="19"/>
        <v>-0.5506346523343063</v>
      </c>
      <c r="J150" s="5">
        <v>-2.522614939848933</v>
      </c>
      <c r="K150" s="10"/>
      <c r="L150"/>
    </row>
    <row r="151" spans="1:12" ht="12.75">
      <c r="A151" s="15">
        <v>34546</v>
      </c>
      <c r="B151" s="43">
        <v>0.68789</v>
      </c>
      <c r="C151" s="151">
        <f t="shared" si="18"/>
        <v>0.0668009539799853</v>
      </c>
      <c r="D151" s="151">
        <f t="shared" si="22"/>
        <v>-1.2572013083750782</v>
      </c>
      <c r="E151" s="151">
        <f t="shared" si="21"/>
        <v>0.06395794298224289</v>
      </c>
      <c r="F151" s="152">
        <f t="shared" si="20"/>
        <v>0.24624696187634426</v>
      </c>
      <c r="G151" s="152">
        <f t="shared" si="19"/>
        <v>-0.8551157572098652</v>
      </c>
      <c r="J151" s="5">
        <v>5.630232001913438</v>
      </c>
      <c r="K151" s="10"/>
      <c r="L151"/>
    </row>
    <row r="152" spans="1:12" ht="12.75">
      <c r="A152" s="15">
        <v>34577</v>
      </c>
      <c r="B152" s="43">
        <v>0.63376</v>
      </c>
      <c r="C152" s="151">
        <f t="shared" si="18"/>
        <v>0.5020477568616517</v>
      </c>
      <c r="D152" s="151">
        <f t="shared" si="22"/>
        <v>-0.20527641504700264</v>
      </c>
      <c r="E152" s="151">
        <f t="shared" si="21"/>
        <v>0.4806808869427396</v>
      </c>
      <c r="F152" s="152">
        <f t="shared" si="20"/>
        <v>0.5401022618858629</v>
      </c>
      <c r="G152" s="152">
        <f t="shared" si="19"/>
        <v>0.30436029443100937</v>
      </c>
      <c r="J152" s="5">
        <v>5.2337391799397</v>
      </c>
      <c r="K152" s="10"/>
      <c r="L152"/>
    </row>
    <row r="153" spans="1:12" ht="12.75">
      <c r="A153" s="15">
        <v>34607</v>
      </c>
      <c r="B153" s="43">
        <v>0.50643</v>
      </c>
      <c r="C153" s="151">
        <f t="shared" si="18"/>
        <v>0.19660328803240576</v>
      </c>
      <c r="D153" s="151">
        <f t="shared" si="22"/>
        <v>-0.3230380123141692</v>
      </c>
      <c r="E153" s="151">
        <f t="shared" si="21"/>
        <v>0.18823596276582474</v>
      </c>
      <c r="F153" s="152">
        <f t="shared" si="20"/>
        <v>0.15555856851497255</v>
      </c>
      <c r="G153" s="152">
        <f t="shared" si="19"/>
        <v>-0.27100155315014585</v>
      </c>
      <c r="J153" s="5">
        <v>-7.110977229134907</v>
      </c>
      <c r="K153" s="10"/>
      <c r="L153"/>
    </row>
    <row r="154" spans="1:12" ht="12.75">
      <c r="A154" s="15">
        <v>34638</v>
      </c>
      <c r="B154" s="43">
        <v>0.41189</v>
      </c>
      <c r="C154" s="151">
        <f t="shared" si="18"/>
        <v>0.18184981033993253</v>
      </c>
      <c r="D154" s="151">
        <f t="shared" si="22"/>
        <v>-0.3864846812147363</v>
      </c>
      <c r="E154" s="151">
        <f t="shared" si="21"/>
        <v>0.17411038477890384</v>
      </c>
      <c r="F154" s="152">
        <f t="shared" si="20"/>
        <v>0.1513749200298866</v>
      </c>
      <c r="G154" s="152">
        <f t="shared" si="19"/>
        <v>-0.1575339193293204</v>
      </c>
      <c r="J154" s="5">
        <v>1.6770683732966196</v>
      </c>
      <c r="K154" s="10"/>
      <c r="L154"/>
    </row>
    <row r="155" spans="1:12" ht="12.75">
      <c r="A155" s="15">
        <v>34668</v>
      </c>
      <c r="B155" s="43">
        <v>0.34461</v>
      </c>
      <c r="C155" s="151">
        <f t="shared" si="18"/>
        <v>0.18090041717443073</v>
      </c>
      <c r="D155" s="151">
        <f t="shared" si="22"/>
        <v>-0.2317788280401346</v>
      </c>
      <c r="E155" s="151">
        <f t="shared" si="21"/>
        <v>0.17320139725209266</v>
      </c>
      <c r="F155" s="152">
        <f t="shared" si="20"/>
        <v>0.15921276517464353</v>
      </c>
      <c r="G155" s="152">
        <f t="shared" si="19"/>
        <v>-0.05725824888356218</v>
      </c>
      <c r="J155" s="5">
        <v>-0.5330955341044441</v>
      </c>
      <c r="K155" s="10"/>
      <c r="L155"/>
    </row>
    <row r="156" spans="1:12" ht="12.75">
      <c r="A156" s="15">
        <v>34699</v>
      </c>
      <c r="B156" s="43">
        <v>0.29605</v>
      </c>
      <c r="C156" s="151">
        <f t="shared" si="18"/>
        <v>0.17789100264551638</v>
      </c>
      <c r="D156" s="151">
        <f t="shared" si="22"/>
        <v>-0.11796371133317951</v>
      </c>
      <c r="E156" s="151">
        <f t="shared" si="21"/>
        <v>0.1703200617114669</v>
      </c>
      <c r="F156" s="152">
        <f t="shared" si="20"/>
        <v>0.16223772706421918</v>
      </c>
      <c r="G156" s="152">
        <f t="shared" si="19"/>
        <v>0.004118325693154995</v>
      </c>
      <c r="J156" s="5">
        <v>-0.4371384446247628</v>
      </c>
      <c r="K156" s="10"/>
      <c r="L156"/>
    </row>
    <row r="157" spans="1:12" ht="12.75">
      <c r="A157" s="15">
        <v>34730</v>
      </c>
      <c r="B157" s="43">
        <v>0.56573</v>
      </c>
      <c r="C157" s="151">
        <f t="shared" si="18"/>
        <v>1.2219309556539766</v>
      </c>
      <c r="D157" s="151">
        <f t="shared" si="22"/>
        <v>1.9806826639977642</v>
      </c>
      <c r="E157" s="151">
        <f t="shared" si="21"/>
        <v>1.169926262031682</v>
      </c>
      <c r="F157" s="152">
        <f t="shared" si="20"/>
        <v>1.3088620791870123</v>
      </c>
      <c r="G157" s="152">
        <f t="shared" si="19"/>
        <v>2.198313373183629</v>
      </c>
      <c r="J157" s="5">
        <v>-2.6869281733094996</v>
      </c>
      <c r="K157" s="10"/>
      <c r="L157"/>
    </row>
    <row r="158" spans="1:12" ht="12.75">
      <c r="A158" s="15">
        <v>34758</v>
      </c>
      <c r="B158" s="43">
        <v>0.19542</v>
      </c>
      <c r="C158" s="151">
        <f t="shared" si="18"/>
        <v>-0.7056396851387721</v>
      </c>
      <c r="D158" s="151">
        <f t="shared" si="22"/>
        <v>-1.32233913417564</v>
      </c>
      <c r="E158" s="151">
        <f t="shared" si="21"/>
        <v>-0.6756080573585147</v>
      </c>
      <c r="F158" s="152">
        <f t="shared" si="20"/>
        <v>-1.6614501145858303</v>
      </c>
      <c r="G158" s="152">
        <f t="shared" si="19"/>
        <v>-2.022447338827046</v>
      </c>
      <c r="J158" s="5">
        <v>0.4349705516831337</v>
      </c>
      <c r="K158" s="10"/>
      <c r="L158"/>
    </row>
    <row r="159" spans="1:12" ht="12.75">
      <c r="A159" s="15">
        <v>34789</v>
      </c>
      <c r="B159" s="43">
        <v>0.146</v>
      </c>
      <c r="C159" s="151">
        <f t="shared" si="18"/>
        <v>0.025748400962549944</v>
      </c>
      <c r="D159" s="151">
        <f t="shared" si="22"/>
        <v>-0.9075373944710713</v>
      </c>
      <c r="E159" s="151">
        <f t="shared" si="21"/>
        <v>0.024652563511894023</v>
      </c>
      <c r="F159" s="152">
        <f t="shared" si="20"/>
        <v>-0.10180999989962955</v>
      </c>
      <c r="G159" s="152">
        <f t="shared" si="19"/>
        <v>-0.14708403391296432</v>
      </c>
      <c r="J159" s="5">
        <v>3.4727639542703415</v>
      </c>
      <c r="K159" s="10"/>
      <c r="L159"/>
    </row>
    <row r="160" spans="1:12" ht="12.75">
      <c r="A160" s="15">
        <v>34819</v>
      </c>
      <c r="B160" s="43">
        <v>0.23918</v>
      </c>
      <c r="C160" s="151">
        <f aca="true" t="shared" si="23" ref="C160:C223">(B160-$C$4*B159)/(1-$C$4)</f>
        <v>0.46591095909165514</v>
      </c>
      <c r="D160" s="151">
        <f t="shared" si="22"/>
        <v>0.6597086502737073</v>
      </c>
      <c r="E160" s="151">
        <f t="shared" si="21"/>
        <v>0.44608205094367936</v>
      </c>
      <c r="F160" s="152">
        <f t="shared" si="20"/>
        <v>0.49594745453369116</v>
      </c>
      <c r="G160" s="152">
        <f t="shared" si="19"/>
        <v>0.7863967076300932</v>
      </c>
      <c r="J160" s="5">
        <v>2.601648208807794</v>
      </c>
      <c r="K160" s="10"/>
      <c r="L160"/>
    </row>
    <row r="161" spans="1:12" ht="12.75">
      <c r="A161" s="15">
        <v>34850</v>
      </c>
      <c r="B161" s="43">
        <v>0.17308</v>
      </c>
      <c r="C161" s="151">
        <f t="shared" si="23"/>
        <v>0.012241661344082428</v>
      </c>
      <c r="D161" s="151">
        <f t="shared" si="22"/>
        <v>-0.003498772648041426</v>
      </c>
      <c r="E161" s="151">
        <f t="shared" si="21"/>
        <v>0.011720663128363952</v>
      </c>
      <c r="F161" s="152">
        <f t="shared" si="20"/>
        <v>-0.1583696356407426</v>
      </c>
      <c r="G161" s="152">
        <f t="shared" si="19"/>
        <v>-0.21486361554817024</v>
      </c>
      <c r="J161" s="5">
        <v>3.4136329948627475</v>
      </c>
      <c r="K161" s="10"/>
      <c r="L161"/>
    </row>
    <row r="162" spans="1:12" ht="12.75">
      <c r="A162" s="15">
        <v>34880</v>
      </c>
      <c r="B162" s="43">
        <v>0.01855</v>
      </c>
      <c r="C162" s="151">
        <f t="shared" si="23"/>
        <v>-0.35746132333583885</v>
      </c>
      <c r="D162" s="151">
        <f t="shared" si="22"/>
        <v>-0.9889595739645073</v>
      </c>
      <c r="E162" s="151">
        <f t="shared" si="21"/>
        <v>-0.34224797063707596</v>
      </c>
      <c r="F162" s="152">
        <f t="shared" si="20"/>
        <v>-0.7563200786015728</v>
      </c>
      <c r="G162" s="152">
        <f t="shared" si="19"/>
        <v>-0.8907686046923848</v>
      </c>
      <c r="J162" s="5">
        <v>-0.5543440976135683</v>
      </c>
      <c r="K162" s="10"/>
      <c r="L162"/>
    </row>
    <row r="163" spans="1:12" ht="12.75">
      <c r="A163" s="15">
        <v>34911</v>
      </c>
      <c r="B163" s="43">
        <v>0.16566</v>
      </c>
      <c r="C163" s="151">
        <f t="shared" si="23"/>
        <v>0.523616550675825</v>
      </c>
      <c r="D163" s="151">
        <f t="shared" si="22"/>
        <v>0.6693372334345202</v>
      </c>
      <c r="E163" s="151">
        <f t="shared" si="21"/>
        <v>0.5013317250337042</v>
      </c>
      <c r="F163" s="152">
        <f t="shared" si="20"/>
        <v>0.9033234780500704</v>
      </c>
      <c r="G163" s="152">
        <f aca="true" t="shared" si="24" ref="G163:G226">(B163-$G$4*CORREL(B126:B161,B127:B162)*B162)/(1-$G$4*CORREL(B126:B161,B127:B162))</f>
        <v>1.0449772277547957</v>
      </c>
      <c r="J163" s="5">
        <v>4.897413628496272</v>
      </c>
      <c r="K163" s="10"/>
      <c r="L163"/>
    </row>
    <row r="164" spans="1:12" ht="12.75">
      <c r="A164" s="15">
        <v>34942</v>
      </c>
      <c r="B164" s="43">
        <v>0.41602</v>
      </c>
      <c r="C164" s="151">
        <f t="shared" si="23"/>
        <v>1.0252104155203559</v>
      </c>
      <c r="D164" s="151">
        <f t="shared" si="22"/>
        <v>2.1321432889480048</v>
      </c>
      <c r="E164" s="151">
        <f t="shared" si="21"/>
        <v>0.9815780373480663</v>
      </c>
      <c r="F164" s="152">
        <f t="shared" si="20"/>
        <v>1.1059137531343088</v>
      </c>
      <c r="G164" s="152">
        <f t="shared" si="24"/>
        <v>1.9089025892759033</v>
      </c>
      <c r="J164" s="5">
        <v>0.9641695341217504</v>
      </c>
      <c r="K164" s="10"/>
      <c r="L164"/>
    </row>
    <row r="165" spans="1:12" ht="12.75">
      <c r="A165" s="15">
        <v>34972</v>
      </c>
      <c r="B165" s="43">
        <v>0.35099</v>
      </c>
      <c r="C165" s="151">
        <f t="shared" si="23"/>
        <v>0.19275524715893616</v>
      </c>
      <c r="D165" s="151">
        <f t="shared" si="22"/>
        <v>0.5096375509460103</v>
      </c>
      <c r="E165" s="151">
        <f t="shared" si="21"/>
        <v>0.1845516923457878</v>
      </c>
      <c r="F165" s="152">
        <f t="shared" si="20"/>
        <v>0.1717928807863713</v>
      </c>
      <c r="G165" s="152">
        <f t="shared" si="24"/>
        <v>-0.033750122024467644</v>
      </c>
      <c r="J165" s="5">
        <v>0.8310845391522825</v>
      </c>
      <c r="K165" s="10"/>
      <c r="L165"/>
    </row>
    <row r="166" spans="1:12" ht="12.75">
      <c r="A166" s="15">
        <v>35003</v>
      </c>
      <c r="B166" s="43">
        <v>0.36281</v>
      </c>
      <c r="C166" s="151">
        <f t="shared" si="23"/>
        <v>0.39157110685193564</v>
      </c>
      <c r="D166" s="151">
        <f t="shared" si="22"/>
        <v>0.29308143918874663</v>
      </c>
      <c r="E166" s="151">
        <f t="shared" si="21"/>
        <v>0.37490606096783397</v>
      </c>
      <c r="F166" s="152">
        <f t="shared" si="20"/>
        <v>0.39538127401361045</v>
      </c>
      <c r="G166" s="152">
        <f t="shared" si="24"/>
        <v>0.43037973074498803</v>
      </c>
      <c r="J166" s="5">
        <v>0.02364843430062713</v>
      </c>
      <c r="K166" s="10"/>
      <c r="L166"/>
    </row>
    <row r="167" spans="1:12" ht="12.75">
      <c r="A167" s="15">
        <v>35033</v>
      </c>
      <c r="B167" s="43">
        <v>0.26406</v>
      </c>
      <c r="C167" s="151">
        <f t="shared" si="23"/>
        <v>0.023775795124480165</v>
      </c>
      <c r="D167" s="151">
        <f t="shared" si="22"/>
        <v>-0.26654596782088186</v>
      </c>
      <c r="E167" s="151">
        <f t="shared" si="21"/>
        <v>0.022763910667871656</v>
      </c>
      <c r="F167" s="152">
        <f t="shared" si="20"/>
        <v>-0.008056185181390757</v>
      </c>
      <c r="G167" s="152">
        <f t="shared" si="24"/>
        <v>-0.30218965956000016</v>
      </c>
      <c r="J167" s="5">
        <v>3.140461554430418</v>
      </c>
      <c r="K167" s="10"/>
      <c r="L167"/>
    </row>
    <row r="168" spans="1:12" ht="12.75">
      <c r="A168" s="15">
        <v>35064</v>
      </c>
      <c r="B168" s="43">
        <v>0.25758</v>
      </c>
      <c r="C168" s="151">
        <f t="shared" si="23"/>
        <v>0.241812489644624</v>
      </c>
      <c r="D168" s="151">
        <f t="shared" si="22"/>
        <v>0.014308097709299186</v>
      </c>
      <c r="E168" s="151">
        <f t="shared" si="21"/>
        <v>0.23152108620662645</v>
      </c>
      <c r="F168" s="152">
        <f t="shared" si="20"/>
        <v>0.23972366703822354</v>
      </c>
      <c r="G168" s="152">
        <f t="shared" si="24"/>
        <v>0.22102979074820975</v>
      </c>
      <c r="J168" s="5">
        <v>0.8101308285810127</v>
      </c>
      <c r="K168" s="10"/>
      <c r="L168"/>
    </row>
    <row r="169" spans="1:12" ht="12.75">
      <c r="A169" s="15">
        <v>35095</v>
      </c>
      <c r="B169" s="43">
        <v>0.58668</v>
      </c>
      <c r="C169" s="151">
        <f t="shared" si="23"/>
        <v>1.38746513240034</v>
      </c>
      <c r="D169" s="151">
        <f t="shared" si="22"/>
        <v>2.4239415686381713</v>
      </c>
      <c r="E169" s="151">
        <f t="shared" si="21"/>
        <v>1.3284153973983495</v>
      </c>
      <c r="F169" s="152">
        <f t="shared" si="20"/>
        <v>1.4935502434753996</v>
      </c>
      <c r="G169" s="152">
        <f t="shared" si="24"/>
        <v>2.4182753875598615</v>
      </c>
      <c r="J169" s="5">
        <v>2.1557437510052235</v>
      </c>
      <c r="K169" s="10"/>
      <c r="L169"/>
    </row>
    <row r="170" spans="1:12" ht="12.75">
      <c r="A170" s="15">
        <v>35124</v>
      </c>
      <c r="B170" s="43">
        <v>0.53954</v>
      </c>
      <c r="C170" s="151">
        <f t="shared" si="23"/>
        <v>0.42483622868018234</v>
      </c>
      <c r="D170" s="151">
        <f t="shared" si="22"/>
        <v>0.9637181022792263</v>
      </c>
      <c r="E170" s="151">
        <f t="shared" si="21"/>
        <v>0.40675543793669916</v>
      </c>
      <c r="F170" s="152">
        <f t="shared" si="20"/>
        <v>0.4096406889169543</v>
      </c>
      <c r="G170" s="152">
        <f t="shared" si="24"/>
        <v>0.28364344446011214</v>
      </c>
      <c r="J170" s="5">
        <v>-0.06460509457316688</v>
      </c>
      <c r="K170" s="10"/>
      <c r="L170"/>
    </row>
    <row r="171" spans="1:12" ht="12.75">
      <c r="A171" s="15">
        <v>35155</v>
      </c>
      <c r="B171" s="43">
        <v>0.62638</v>
      </c>
      <c r="C171" s="151">
        <f t="shared" si="23"/>
        <v>0.837684104824204</v>
      </c>
      <c r="D171" s="151">
        <f t="shared" si="22"/>
        <v>1.01602835608047</v>
      </c>
      <c r="E171" s="151">
        <f t="shared" si="21"/>
        <v>0.8020327408726837</v>
      </c>
      <c r="F171" s="152">
        <f t="shared" si="20"/>
        <v>0.7766337960064967</v>
      </c>
      <c r="G171" s="152">
        <f t="shared" si="24"/>
        <v>1.089309495032845</v>
      </c>
      <c r="J171" s="5">
        <v>0.14504799621897213</v>
      </c>
      <c r="K171" s="10"/>
      <c r="L171"/>
    </row>
    <row r="172" spans="1:12" ht="12.75">
      <c r="A172" s="15">
        <v>35185</v>
      </c>
      <c r="B172" s="43">
        <v>0.57153</v>
      </c>
      <c r="C172" s="151">
        <f t="shared" si="23"/>
        <v>0.43806581126660976</v>
      </c>
      <c r="D172" s="151">
        <f t="shared" si="22"/>
        <v>0.44494144713017736</v>
      </c>
      <c r="E172" s="151">
        <f t="shared" si="21"/>
        <v>0.4194219769354553</v>
      </c>
      <c r="F172" s="152">
        <f t="shared" si="20"/>
        <v>0.4203849594207666</v>
      </c>
      <c r="G172" s="152">
        <f t="shared" si="24"/>
        <v>0.27737739488209845</v>
      </c>
      <c r="J172" s="5">
        <v>3.8607169205398417</v>
      </c>
      <c r="K172" s="10"/>
      <c r="L172"/>
    </row>
    <row r="173" spans="1:12" ht="12.75">
      <c r="A173" s="15">
        <v>35216</v>
      </c>
      <c r="B173" s="43">
        <v>0.51542</v>
      </c>
      <c r="C173" s="151">
        <f t="shared" si="23"/>
        <v>0.37888990647528686</v>
      </c>
      <c r="D173" s="151">
        <f t="shared" si="22"/>
        <v>0.08497991110076111</v>
      </c>
      <c r="E173" s="151">
        <f t="shared" si="21"/>
        <v>0.362764565340704</v>
      </c>
      <c r="F173" s="152">
        <f t="shared" si="20"/>
        <v>0.36080289467819915</v>
      </c>
      <c r="G173" s="152">
        <f t="shared" si="24"/>
        <v>0.21515664621824213</v>
      </c>
      <c r="J173" s="5">
        <v>-1.5057896908508672</v>
      </c>
      <c r="K173" s="10"/>
      <c r="L173"/>
    </row>
    <row r="174" spans="1:12" ht="12.75">
      <c r="A174" s="15">
        <v>35246</v>
      </c>
      <c r="B174" s="43">
        <v>1.00941</v>
      </c>
      <c r="C174" s="151">
        <f t="shared" si="23"/>
        <v>2.211415006242613</v>
      </c>
      <c r="D174" s="151">
        <f t="shared" si="22"/>
        <v>3.6700520450676577</v>
      </c>
      <c r="E174" s="151">
        <f t="shared" si="21"/>
        <v>2.117298428428409</v>
      </c>
      <c r="F174" s="152">
        <f t="shared" si="20"/>
        <v>1.7021298881024476</v>
      </c>
      <c r="G174" s="152">
        <f t="shared" si="24"/>
        <v>3.6658144616102817</v>
      </c>
      <c r="J174" s="5">
        <v>-1.5616880017817691</v>
      </c>
      <c r="K174" s="10"/>
      <c r="L174"/>
    </row>
    <row r="175" spans="1:12" ht="12.75">
      <c r="A175" s="15">
        <v>35277</v>
      </c>
      <c r="B175" s="43">
        <v>0.52214</v>
      </c>
      <c r="C175" s="151">
        <f t="shared" si="23"/>
        <v>-0.6635135140222229</v>
      </c>
      <c r="D175" s="151">
        <f t="shared" si="22"/>
        <v>-1.183582942426149</v>
      </c>
      <c r="E175" s="151">
        <f t="shared" si="21"/>
        <v>-0.6352747523709884</v>
      </c>
      <c r="F175" s="152">
        <f t="shared" si="20"/>
        <v>-0.8205845929451773</v>
      </c>
      <c r="G175" s="152">
        <f t="shared" si="24"/>
        <v>-2.1152808963286374</v>
      </c>
      <c r="J175" s="5">
        <v>-1.12533870594127</v>
      </c>
      <c r="K175" s="10"/>
      <c r="L175"/>
    </row>
    <row r="176" spans="1:12" ht="12.75">
      <c r="A176" s="15">
        <v>35308</v>
      </c>
      <c r="B176" s="43">
        <v>0.82096</v>
      </c>
      <c r="C176" s="151">
        <f t="shared" si="23"/>
        <v>1.5480660870977503</v>
      </c>
      <c r="D176" s="151">
        <f t="shared" si="22"/>
        <v>1.4809291036359284</v>
      </c>
      <c r="E176" s="151">
        <f t="shared" si="21"/>
        <v>1.4821812658694544</v>
      </c>
      <c r="F176" s="152">
        <f t="shared" si="20"/>
        <v>1.337989471702687</v>
      </c>
      <c r="G176" s="152">
        <f t="shared" si="24"/>
        <v>2.389519340064983</v>
      </c>
      <c r="J176" s="5">
        <v>4.38804864228739</v>
      </c>
      <c r="K176" s="10"/>
      <c r="L176"/>
    </row>
    <row r="177" spans="1:12" ht="12.75">
      <c r="A177" s="15">
        <v>35338</v>
      </c>
      <c r="B177" s="43">
        <v>0.73986</v>
      </c>
      <c r="C177" s="151">
        <f t="shared" si="23"/>
        <v>0.542522794780712</v>
      </c>
      <c r="D177" s="151">
        <f t="shared" si="22"/>
        <v>0.9096290698926673</v>
      </c>
      <c r="E177" s="151">
        <f t="shared" si="21"/>
        <v>0.5194333300322049</v>
      </c>
      <c r="F177" s="152">
        <f t="shared" si="20"/>
        <v>0.5995377653601232</v>
      </c>
      <c r="G177" s="152">
        <f t="shared" si="24"/>
        <v>0.31887763966666377</v>
      </c>
      <c r="J177" s="5">
        <v>1.5146295890353656</v>
      </c>
      <c r="K177" s="10"/>
      <c r="L177"/>
    </row>
    <row r="178" spans="1:12" ht="12.75">
      <c r="A178" s="15">
        <v>35369</v>
      </c>
      <c r="B178" s="43">
        <v>0.81557</v>
      </c>
      <c r="C178" s="151">
        <f t="shared" si="23"/>
        <v>0.9997919458341836</v>
      </c>
      <c r="D178" s="151">
        <f t="shared" si="22"/>
        <v>1.071495884460206</v>
      </c>
      <c r="E178" s="151">
        <f t="shared" si="21"/>
        <v>0.9572413634231525</v>
      </c>
      <c r="F178" s="152">
        <f t="shared" si="20"/>
        <v>0.9465662562834163</v>
      </c>
      <c r="G178" s="152">
        <f t="shared" si="24"/>
        <v>1.2125216885059213</v>
      </c>
      <c r="J178" s="5">
        <v>0.6118251928020513</v>
      </c>
      <c r="K178" s="10"/>
      <c r="L178"/>
    </row>
    <row r="179" spans="1:12" ht="12.75">
      <c r="A179" s="15">
        <v>35399</v>
      </c>
      <c r="B179" s="43">
        <v>1.08572</v>
      </c>
      <c r="C179" s="151">
        <f t="shared" si="23"/>
        <v>1.7430645868062953</v>
      </c>
      <c r="D179" s="151">
        <f t="shared" si="22"/>
        <v>2.763595639690753</v>
      </c>
      <c r="E179" s="151">
        <f t="shared" si="21"/>
        <v>1.6688807391991132</v>
      </c>
      <c r="F179" s="152">
        <f t="shared" si="20"/>
        <v>1.4645500932627713</v>
      </c>
      <c r="G179" s="152">
        <f t="shared" si="24"/>
        <v>2.47861830390331</v>
      </c>
      <c r="J179" s="5">
        <v>1.4446318156267512</v>
      </c>
      <c r="K179" s="10"/>
      <c r="L179"/>
    </row>
    <row r="180" spans="1:12" ht="12.75">
      <c r="A180" s="15">
        <v>35430</v>
      </c>
      <c r="B180" s="43">
        <v>1.14204</v>
      </c>
      <c r="C180" s="151">
        <f t="shared" si="23"/>
        <v>1.2790810776566002</v>
      </c>
      <c r="D180" s="151">
        <f t="shared" si="22"/>
        <v>2.0246004071773385</v>
      </c>
      <c r="E180" s="151">
        <f t="shared" si="21"/>
        <v>1.2246441070128657</v>
      </c>
      <c r="F180" s="152">
        <f t="shared" si="20"/>
        <v>1.2210172750418626</v>
      </c>
      <c r="G180" s="152">
        <f t="shared" si="24"/>
        <v>1.4677908909634214</v>
      </c>
      <c r="J180" s="5">
        <v>1.435141574776977</v>
      </c>
      <c r="K180" s="10"/>
      <c r="L180"/>
    </row>
    <row r="181" spans="1:12" ht="12.75">
      <c r="A181" s="15">
        <v>35461</v>
      </c>
      <c r="B181" s="43">
        <v>0.82842</v>
      </c>
      <c r="C181" s="151">
        <f t="shared" si="23"/>
        <v>0.06530169789305824</v>
      </c>
      <c r="D181" s="151">
        <f t="shared" si="22"/>
        <v>-0.8173948466383053</v>
      </c>
      <c r="E181" s="151">
        <f t="shared" si="21"/>
        <v>0.06252249439041303</v>
      </c>
      <c r="F181" s="152">
        <f t="shared" si="20"/>
        <v>0.2857830181534148</v>
      </c>
      <c r="G181" s="152">
        <f t="shared" si="24"/>
        <v>-0.8215301098779225</v>
      </c>
      <c r="J181" s="5">
        <v>3.6724173892315637</v>
      </c>
      <c r="K181" s="10"/>
      <c r="L181"/>
    </row>
    <row r="182" spans="1:12" ht="12.75">
      <c r="A182" s="15">
        <v>35489</v>
      </c>
      <c r="B182" s="43">
        <v>0.96996</v>
      </c>
      <c r="C182" s="151">
        <f t="shared" si="23"/>
        <v>1.3143633048919605</v>
      </c>
      <c r="D182" s="151">
        <f t="shared" si="22"/>
        <v>1.1091028103118576</v>
      </c>
      <c r="E182" s="151">
        <f t="shared" si="21"/>
        <v>1.2584247425181883</v>
      </c>
      <c r="F182" s="152">
        <f t="shared" si="20"/>
        <v>1.2148577693086082</v>
      </c>
      <c r="G182" s="152">
        <f t="shared" si="24"/>
        <v>1.7983471727750657</v>
      </c>
      <c r="J182" s="5">
        <v>0.970008766005126</v>
      </c>
      <c r="K182" s="10"/>
      <c r="L182"/>
    </row>
    <row r="183" spans="1:12" ht="12.75">
      <c r="A183" s="15">
        <v>35520</v>
      </c>
      <c r="B183" s="43">
        <v>1.16231</v>
      </c>
      <c r="C183" s="151">
        <f t="shared" si="23"/>
        <v>1.630347132230949</v>
      </c>
      <c r="D183" s="151">
        <f t="shared" si="22"/>
        <v>2.5405232018710735</v>
      </c>
      <c r="E183" s="151">
        <f t="shared" si="21"/>
        <v>1.560960476039495</v>
      </c>
      <c r="F183" s="152">
        <f t="shared" si="20"/>
        <v>1.4320415137482658</v>
      </c>
      <c r="G183" s="152">
        <f t="shared" si="24"/>
        <v>2.2460269698730513</v>
      </c>
      <c r="J183" s="10">
        <v>-0.3871224844154808</v>
      </c>
      <c r="K183" s="10"/>
      <c r="L183"/>
    </row>
    <row r="184" spans="1:12" ht="12.75">
      <c r="A184" s="15">
        <v>35550</v>
      </c>
      <c r="B184" s="43">
        <v>1.08068</v>
      </c>
      <c r="C184" s="151">
        <f t="shared" si="23"/>
        <v>0.8820531681621404</v>
      </c>
      <c r="D184" s="151">
        <f t="shared" si="22"/>
        <v>1.0244702166792479</v>
      </c>
      <c r="E184" s="151">
        <f t="shared" si="21"/>
        <v>0.8445134818512258</v>
      </c>
      <c r="F184" s="152">
        <f t="shared" si="20"/>
        <v>0.9662106292317604</v>
      </c>
      <c r="G184" s="152">
        <f t="shared" si="24"/>
        <v>0.6921600690026948</v>
      </c>
      <c r="J184" s="10">
        <v>1.6959565652236108</v>
      </c>
      <c r="K184" s="10"/>
      <c r="L184"/>
    </row>
    <row r="185" spans="1:12" ht="12.75">
      <c r="A185" s="15">
        <v>35581</v>
      </c>
      <c r="B185" s="43">
        <v>1.10911</v>
      </c>
      <c r="C185" s="151">
        <f t="shared" si="23"/>
        <v>1.1782875184264407</v>
      </c>
      <c r="D185" s="151">
        <f t="shared" si="22"/>
        <v>1.0980266396135991</v>
      </c>
      <c r="E185" s="151">
        <f t="shared" si="21"/>
        <v>1.1281402649247518</v>
      </c>
      <c r="F185" s="152">
        <f t="shared" si="20"/>
        <v>1.148977257269889</v>
      </c>
      <c r="G185" s="152">
        <f t="shared" si="24"/>
        <v>1.229120416239226</v>
      </c>
      <c r="J185" s="10">
        <v>3.0721534578117327</v>
      </c>
      <c r="K185" s="10"/>
      <c r="L185"/>
    </row>
    <row r="186" spans="1:12" ht="12.75">
      <c r="A186" s="15">
        <v>35611</v>
      </c>
      <c r="B186" s="43">
        <v>1.26988</v>
      </c>
      <c r="C186" s="151">
        <f t="shared" si="23"/>
        <v>1.6610748518262004</v>
      </c>
      <c r="D186" s="151">
        <f t="shared" si="22"/>
        <v>2.2335841982947784</v>
      </c>
      <c r="E186" s="151">
        <f t="shared" si="21"/>
        <v>1.5903804411860447</v>
      </c>
      <c r="F186" s="152">
        <f t="shared" si="20"/>
        <v>1.495327026073869</v>
      </c>
      <c r="G186" s="152">
        <f t="shared" si="24"/>
        <v>1.9465145521216767</v>
      </c>
      <c r="J186" s="10">
        <v>-0.7446919683221975</v>
      </c>
      <c r="K186" s="10"/>
      <c r="L186"/>
    </row>
    <row r="187" spans="1:12" ht="12.75">
      <c r="A187" s="15">
        <v>35642</v>
      </c>
      <c r="B187" s="43">
        <v>0.7833</v>
      </c>
      <c r="C187" s="151">
        <f t="shared" si="23"/>
        <v>-0.40067456616030817</v>
      </c>
      <c r="D187" s="151">
        <f t="shared" si="22"/>
        <v>-1.616461577450032</v>
      </c>
      <c r="E187" s="151">
        <f t="shared" si="21"/>
        <v>-0.38362208217256866</v>
      </c>
      <c r="F187" s="152">
        <f t="shared" si="20"/>
        <v>-0.058598803095821446</v>
      </c>
      <c r="G187" s="152">
        <f t="shared" si="24"/>
        <v>-1.4258037629412756</v>
      </c>
      <c r="J187" s="10">
        <v>5.065643711204304</v>
      </c>
      <c r="K187" s="10"/>
      <c r="L187"/>
    </row>
    <row r="188" spans="1:12" ht="12.75">
      <c r="A188" s="15">
        <v>35673</v>
      </c>
      <c r="B188" s="43">
        <v>1.31914</v>
      </c>
      <c r="C188" s="151">
        <f t="shared" si="23"/>
        <v>2.6229768439544157</v>
      </c>
      <c r="D188" s="151">
        <f t="shared" si="22"/>
        <v>3.3135370010778664</v>
      </c>
      <c r="E188" s="151">
        <f t="shared" si="21"/>
        <v>2.5113444260039124</v>
      </c>
      <c r="F188" s="152">
        <f t="shared" si="20"/>
        <v>2.070545949190906</v>
      </c>
      <c r="G188" s="152">
        <f t="shared" si="24"/>
        <v>3.5380584827396517</v>
      </c>
      <c r="J188" s="10">
        <v>-0.8042942165755962</v>
      </c>
      <c r="K188" s="10"/>
      <c r="L188"/>
    </row>
    <row r="189" spans="1:12" ht="12.75">
      <c r="A189" s="15">
        <v>35703</v>
      </c>
      <c r="B189" s="43">
        <v>1.35249</v>
      </c>
      <c r="C189" s="151">
        <f t="shared" si="23"/>
        <v>1.433639146659226</v>
      </c>
      <c r="D189" s="151">
        <f t="shared" si="22"/>
        <v>2.6623484635841814</v>
      </c>
      <c r="E189" s="151">
        <f t="shared" si="21"/>
        <v>1.37262427160269</v>
      </c>
      <c r="F189" s="152">
        <f aca="true" t="shared" si="25" ref="F189:F252">IF($B189&gt;$H$4,(B189-$F$4*B188)/(1-$F$4),IF(B189&gt;$H$5,(B189-$F$5*B188)/(1-$F$5),IF(B189&gt;$H$6,(B189-$F$6*B188)/(1-$F$6),IF(B189&gt;$H$7,(B189-$F$7*B188)/(1-$F$7),IF(B189&gt;$H$8,(B189-$F$8*B188)/(1-$F$8),(B189-$F$9*B188)/(1-$F$9))))))</f>
        <v>1.39925655047312</v>
      </c>
      <c r="G189" s="152">
        <f t="shared" si="24"/>
        <v>1.476113795560608</v>
      </c>
      <c r="J189" s="10">
        <v>7.83144172318071</v>
      </c>
      <c r="K189" s="10"/>
      <c r="L189"/>
    </row>
    <row r="190" spans="1:12" ht="12.75">
      <c r="A190" s="15">
        <v>35734</v>
      </c>
      <c r="B190" s="43">
        <v>1.50265</v>
      </c>
      <c r="C190" s="151">
        <f t="shared" si="23"/>
        <v>1.8680279868770437</v>
      </c>
      <c r="D190" s="151">
        <f t="shared" si="22"/>
        <v>2.416989143783067</v>
      </c>
      <c r="E190" s="151">
        <f aca="true" t="shared" si="26" ref="E190:E253">((B190-$E$4*B189)/(1-$E$4))/$E$6</f>
        <v>1.7885257673073465</v>
      </c>
      <c r="F190" s="152">
        <f t="shared" si="25"/>
        <v>1.8272763856738408</v>
      </c>
      <c r="G190" s="152">
        <f t="shared" si="24"/>
        <v>2.1507043095214544</v>
      </c>
      <c r="J190" s="10">
        <v>-6.564101310783633</v>
      </c>
      <c r="K190" s="10"/>
      <c r="L190"/>
    </row>
    <row r="191" spans="1:12" ht="12.75">
      <c r="A191" s="15">
        <v>35764</v>
      </c>
      <c r="B191" s="43">
        <v>1.52632</v>
      </c>
      <c r="C191" s="151">
        <f t="shared" si="23"/>
        <v>1.5839152114369976</v>
      </c>
      <c r="D191" s="151">
        <f t="shared" si="22"/>
        <v>1.973943853305172</v>
      </c>
      <c r="E191" s="151">
        <f t="shared" si="26"/>
        <v>1.5165046716570407</v>
      </c>
      <c r="F191" s="152">
        <f t="shared" si="25"/>
        <v>1.5774914607678459</v>
      </c>
      <c r="G191" s="152">
        <f t="shared" si="24"/>
        <v>1.6439754479986717</v>
      </c>
      <c r="J191" s="10">
        <v>-0.2279989711709729</v>
      </c>
      <c r="K191" s="10"/>
      <c r="L191"/>
    </row>
    <row r="192" spans="1:12" ht="12.75">
      <c r="A192" s="15">
        <v>35795</v>
      </c>
      <c r="B192" s="43">
        <v>1.53396</v>
      </c>
      <c r="C192" s="151">
        <f t="shared" si="23"/>
        <v>1.5525500893696098</v>
      </c>
      <c r="D192" s="151">
        <f t="shared" si="22"/>
        <v>1.6265028815587894</v>
      </c>
      <c r="E192" s="151">
        <f t="shared" si="26"/>
        <v>1.4864744315287617</v>
      </c>
      <c r="F192" s="152">
        <f t="shared" si="25"/>
        <v>1.550476686111802</v>
      </c>
      <c r="G192" s="152">
        <f t="shared" si="24"/>
        <v>1.5772929661971935</v>
      </c>
      <c r="J192" s="10">
        <v>5.346406599552567</v>
      </c>
      <c r="K192" s="10"/>
      <c r="L192"/>
    </row>
    <row r="193" spans="1:12" ht="12.75">
      <c r="A193" s="15">
        <v>35826</v>
      </c>
      <c r="B193" s="43">
        <v>1.04987</v>
      </c>
      <c r="C193" s="151">
        <f t="shared" si="23"/>
        <v>-0.12804575431078824</v>
      </c>
      <c r="D193" s="151">
        <f aca="true" t="shared" si="27" ref="D193:D256">(B193-($D$4*B192+$D$5*B191+$D$6*B190))/(1-$D$4-$D$5-$D$6)</f>
        <v>-1.656614126218896</v>
      </c>
      <c r="E193" s="151">
        <f t="shared" si="26"/>
        <v>-0.12259619908693824</v>
      </c>
      <c r="F193" s="152">
        <f t="shared" si="25"/>
        <v>0.3710328360260049</v>
      </c>
      <c r="G193" s="152">
        <f t="shared" si="24"/>
        <v>-1.9828562229036741</v>
      </c>
      <c r="J193" s="10">
        <v>5.21277478224802</v>
      </c>
      <c r="K193" s="10"/>
      <c r="L193"/>
    </row>
    <row r="194" spans="1:12" ht="12.75">
      <c r="A194" s="15">
        <v>35854</v>
      </c>
      <c r="B194" s="43">
        <v>1.21248</v>
      </c>
      <c r="C194" s="151">
        <f t="shared" si="23"/>
        <v>1.6081520461246406</v>
      </c>
      <c r="D194" s="151">
        <f t="shared" si="27"/>
        <v>1.1130746868338979</v>
      </c>
      <c r="E194" s="151">
        <f t="shared" si="26"/>
        <v>1.5397100003037958</v>
      </c>
      <c r="F194" s="152">
        <f t="shared" si="25"/>
        <v>1.440507249548248</v>
      </c>
      <c r="G194" s="152">
        <f t="shared" si="24"/>
        <v>2.154980554586244</v>
      </c>
      <c r="J194" s="10">
        <v>5.783938060772353</v>
      </c>
      <c r="K194" s="10"/>
      <c r="L194"/>
    </row>
    <row r="195" spans="1:12" ht="12.75">
      <c r="A195" s="15">
        <v>35885</v>
      </c>
      <c r="B195" s="43">
        <v>0.97807</v>
      </c>
      <c r="C195" s="151">
        <f t="shared" si="23"/>
        <v>0.4076900459253609</v>
      </c>
      <c r="D195" s="151">
        <f t="shared" si="27"/>
        <v>0.00034742436005911315</v>
      </c>
      <c r="E195" s="151">
        <f t="shared" si="26"/>
        <v>0.39033898706798015</v>
      </c>
      <c r="F195" s="152">
        <f t="shared" si="25"/>
        <v>0.572485104538428</v>
      </c>
      <c r="G195" s="152">
        <f t="shared" si="24"/>
        <v>-0.48497566553566396</v>
      </c>
      <c r="J195" s="10">
        <v>3.6617723783260114</v>
      </c>
      <c r="K195" s="10"/>
      <c r="L195"/>
    </row>
    <row r="196" spans="1:12" ht="12.75">
      <c r="A196" s="15">
        <v>35915</v>
      </c>
      <c r="B196" s="43">
        <v>1.16796</v>
      </c>
      <c r="C196" s="151">
        <f t="shared" si="23"/>
        <v>1.630011318114557</v>
      </c>
      <c r="D196" s="151">
        <f t="shared" si="27"/>
        <v>1.7449225191124156</v>
      </c>
      <c r="E196" s="151">
        <f t="shared" si="26"/>
        <v>1.56063895398286</v>
      </c>
      <c r="F196" s="152">
        <f t="shared" si="25"/>
        <v>1.4342418671466506</v>
      </c>
      <c r="G196" s="152">
        <f t="shared" si="24"/>
        <v>2.26291028040169</v>
      </c>
      <c r="J196" s="10">
        <v>0.26351171602567725</v>
      </c>
      <c r="K196" s="10"/>
      <c r="L196"/>
    </row>
    <row r="197" spans="1:12" ht="12.75">
      <c r="A197" s="15">
        <v>35946</v>
      </c>
      <c r="B197" s="43">
        <v>1.2011</v>
      </c>
      <c r="C197" s="151">
        <f t="shared" si="23"/>
        <v>1.281738162527339</v>
      </c>
      <c r="D197" s="151">
        <f t="shared" si="27"/>
        <v>1.785195698656666</v>
      </c>
      <c r="E197" s="151">
        <f t="shared" si="26"/>
        <v>1.2271881078472342</v>
      </c>
      <c r="F197" s="152">
        <f t="shared" si="25"/>
        <v>1.2475720684461529</v>
      </c>
      <c r="G197" s="152">
        <f t="shared" si="24"/>
        <v>1.3793452934282675</v>
      </c>
      <c r="J197" s="10">
        <v>0.4729310610651183</v>
      </c>
      <c r="K197" s="10"/>
      <c r="L197"/>
    </row>
    <row r="198" spans="1:12" ht="12.75">
      <c r="A198" s="15">
        <v>35976</v>
      </c>
      <c r="B198" s="43">
        <v>1.39743</v>
      </c>
      <c r="C198" s="151">
        <f t="shared" si="23"/>
        <v>1.8751514981590967</v>
      </c>
      <c r="D198" s="151">
        <f t="shared" si="27"/>
        <v>2.57098592436639</v>
      </c>
      <c r="E198" s="151">
        <f t="shared" si="26"/>
        <v>1.7953461059592077</v>
      </c>
      <c r="F198" s="152">
        <f t="shared" si="25"/>
        <v>1.672742649306977</v>
      </c>
      <c r="G198" s="152">
        <f t="shared" si="24"/>
        <v>2.4073886071618373</v>
      </c>
      <c r="J198" s="10">
        <v>-2.0955113518760227</v>
      </c>
      <c r="K198" s="10"/>
      <c r="L198"/>
    </row>
    <row r="199" spans="1:12" ht="12.75">
      <c r="A199" s="15">
        <v>36007</v>
      </c>
      <c r="B199" s="43">
        <v>1.13506</v>
      </c>
      <c r="C199" s="151">
        <f t="shared" si="23"/>
        <v>0.49664615865123896</v>
      </c>
      <c r="D199" s="151">
        <f t="shared" si="27"/>
        <v>0.0707179933969953</v>
      </c>
      <c r="E199" s="151">
        <f t="shared" si="26"/>
        <v>0.4755091777114901</v>
      </c>
      <c r="F199" s="152">
        <f t="shared" si="25"/>
        <v>0.7671397646886793</v>
      </c>
      <c r="G199" s="152">
        <f t="shared" si="24"/>
        <v>-0.11988825263955073</v>
      </c>
      <c r="J199" s="10">
        <v>-0.3185758130244354</v>
      </c>
      <c r="K199" s="10"/>
      <c r="L199"/>
    </row>
    <row r="200" spans="1:12" ht="12.75">
      <c r="A200" s="15">
        <v>36038</v>
      </c>
      <c r="B200" s="43">
        <v>0.99151</v>
      </c>
      <c r="C200" s="151">
        <f t="shared" si="23"/>
        <v>0.6422158469885483</v>
      </c>
      <c r="D200" s="151">
        <f t="shared" si="27"/>
        <v>-0.3653304154946872</v>
      </c>
      <c r="E200" s="151">
        <f t="shared" si="26"/>
        <v>0.6148835020573674</v>
      </c>
      <c r="F200" s="152">
        <f t="shared" si="25"/>
        <v>0.7431344539759029</v>
      </c>
      <c r="G200" s="152">
        <f t="shared" si="24"/>
        <v>0.40303329515150565</v>
      </c>
      <c r="J200" s="10">
        <v>-10.746255558155848</v>
      </c>
      <c r="K200" s="10"/>
      <c r="L200"/>
    </row>
    <row r="201" spans="1:12" ht="12.75">
      <c r="A201" s="15">
        <v>36068</v>
      </c>
      <c r="B201" s="43">
        <v>0.68491</v>
      </c>
      <c r="C201" s="151">
        <f t="shared" si="23"/>
        <v>-0.061126832555284824</v>
      </c>
      <c r="D201" s="151">
        <f t="shared" si="27"/>
        <v>-1.3400465217131705</v>
      </c>
      <c r="E201" s="151">
        <f t="shared" si="26"/>
        <v>-0.058525308971296756</v>
      </c>
      <c r="F201" s="152">
        <f t="shared" si="25"/>
        <v>0.15441928310004752</v>
      </c>
      <c r="G201" s="152">
        <f t="shared" si="24"/>
        <v>-0.46951807821518693</v>
      </c>
      <c r="J201" s="10">
        <v>-3.9338916110847055</v>
      </c>
      <c r="K201" s="10"/>
      <c r="L201"/>
    </row>
    <row r="202" spans="1:12" ht="12.75">
      <c r="A202" s="15">
        <v>36099</v>
      </c>
      <c r="B202" s="43">
        <v>0.62723</v>
      </c>
      <c r="C202" s="151">
        <f t="shared" si="23"/>
        <v>0.48687969177498736</v>
      </c>
      <c r="D202" s="151">
        <f t="shared" si="27"/>
        <v>-0.3393223603157424</v>
      </c>
      <c r="E202" s="151">
        <f t="shared" si="26"/>
        <v>0.4661583661677445</v>
      </c>
      <c r="F202" s="152">
        <f t="shared" si="25"/>
        <v>0.5274299199256708</v>
      </c>
      <c r="G202" s="152">
        <f t="shared" si="24"/>
        <v>0.4374988961270377</v>
      </c>
      <c r="J202" s="10">
        <v>6.824830903864654</v>
      </c>
      <c r="K202" s="10"/>
      <c r="L202"/>
    </row>
    <row r="203" spans="1:12" ht="12.75">
      <c r="A203" s="15">
        <v>36129</v>
      </c>
      <c r="B203" s="43">
        <v>0.33636</v>
      </c>
      <c r="C203" s="151">
        <f t="shared" si="23"/>
        <v>-0.3714016878191641</v>
      </c>
      <c r="D203" s="151">
        <f t="shared" si="27"/>
        <v>-1.4202800805823246</v>
      </c>
      <c r="E203" s="151">
        <f t="shared" si="26"/>
        <v>-0.3555950410553119</v>
      </c>
      <c r="F203" s="152">
        <f t="shared" si="25"/>
        <v>-0.46516339021479614</v>
      </c>
      <c r="G203" s="152">
        <f t="shared" si="24"/>
        <v>-0.5447243897658801</v>
      </c>
      <c r="J203" s="10">
        <v>4.870950356308779</v>
      </c>
      <c r="K203" s="10"/>
      <c r="L203"/>
    </row>
    <row r="204" spans="1:12" ht="12.75">
      <c r="A204" s="15">
        <v>36160</v>
      </c>
      <c r="B204" s="43">
        <v>0.74551</v>
      </c>
      <c r="C204" s="151">
        <f t="shared" si="23"/>
        <v>1.741077416960192</v>
      </c>
      <c r="D204" s="151">
        <f t="shared" si="27"/>
        <v>2.4373205730514975</v>
      </c>
      <c r="E204" s="151">
        <f t="shared" si="26"/>
        <v>1.6669781421830407</v>
      </c>
      <c r="F204" s="152">
        <f t="shared" si="25"/>
        <v>1.4534365388767634</v>
      </c>
      <c r="G204" s="152">
        <f t="shared" si="24"/>
        <v>1.8623258542752437</v>
      </c>
      <c r="J204" s="10">
        <v>1.791492504358816</v>
      </c>
      <c r="K204" s="10"/>
      <c r="L204"/>
    </row>
    <row r="205" spans="1:12" ht="12.75">
      <c r="A205" s="15">
        <v>36191</v>
      </c>
      <c r="B205" s="43">
        <v>0.60208</v>
      </c>
      <c r="C205" s="151">
        <f t="shared" si="23"/>
        <v>0.25307783792105504</v>
      </c>
      <c r="D205" s="151">
        <f t="shared" si="27"/>
        <v>0.6523926474278086</v>
      </c>
      <c r="E205" s="151">
        <f t="shared" si="26"/>
        <v>0.24230698760191133</v>
      </c>
      <c r="F205" s="152">
        <f t="shared" si="25"/>
        <v>0.20684329680438562</v>
      </c>
      <c r="G205" s="152">
        <f t="shared" si="24"/>
        <v>0.2789436601772826</v>
      </c>
      <c r="J205" s="10">
        <v>0.8235100526567729</v>
      </c>
      <c r="K205" s="10"/>
      <c r="L205"/>
    </row>
    <row r="206" spans="1:12" ht="12.75">
      <c r="A206" s="15">
        <v>36219</v>
      </c>
      <c r="B206" s="43">
        <v>0.75465</v>
      </c>
      <c r="C206" s="151">
        <f t="shared" si="23"/>
        <v>1.125892138104892</v>
      </c>
      <c r="D206" s="151">
        <f t="shared" si="27"/>
        <v>1.312282476163858</v>
      </c>
      <c r="E206" s="151">
        <f t="shared" si="26"/>
        <v>1.0779748024952394</v>
      </c>
      <c r="F206" s="152">
        <f t="shared" si="25"/>
        <v>1.0186322853145005</v>
      </c>
      <c r="G206" s="152">
        <f t="shared" si="24"/>
        <v>1.0829387706997005</v>
      </c>
      <c r="J206" s="10">
        <v>4.801664725476096</v>
      </c>
      <c r="K206" s="10"/>
      <c r="L206"/>
    </row>
    <row r="207" spans="1:12" ht="12.75">
      <c r="A207" s="15">
        <v>36250</v>
      </c>
      <c r="B207" s="43">
        <v>0.72048</v>
      </c>
      <c r="C207" s="151">
        <f t="shared" si="23"/>
        <v>0.6373355819686427</v>
      </c>
      <c r="D207" s="151">
        <f t="shared" si="27"/>
        <v>0.8478637004908324</v>
      </c>
      <c r="E207" s="151">
        <f t="shared" si="26"/>
        <v>0.6102109383695064</v>
      </c>
      <c r="F207" s="152">
        <f t="shared" si="25"/>
        <v>0.6613577958366883</v>
      </c>
      <c r="G207" s="152">
        <f t="shared" si="24"/>
        <v>0.6501241847252477</v>
      </c>
      <c r="J207" s="10">
        <v>2.4562980685852276</v>
      </c>
      <c r="K207" s="10"/>
      <c r="L207"/>
    </row>
    <row r="208" spans="1:12" ht="12.75">
      <c r="A208" s="15">
        <v>36280</v>
      </c>
      <c r="B208" s="43">
        <v>1.10058</v>
      </c>
      <c r="C208" s="151">
        <f t="shared" si="23"/>
        <v>2.025461278715798</v>
      </c>
      <c r="D208" s="151">
        <f t="shared" si="27"/>
        <v>3.1666658839525303</v>
      </c>
      <c r="E208" s="151">
        <f t="shared" si="26"/>
        <v>1.939258786867916</v>
      </c>
      <c r="F208" s="152">
        <f t="shared" si="25"/>
        <v>1.6335924688105838</v>
      </c>
      <c r="G208" s="152">
        <f t="shared" si="24"/>
        <v>1.852468885307434</v>
      </c>
      <c r="J208" s="10">
        <v>4.615533423840779</v>
      </c>
      <c r="K208" s="10"/>
      <c r="L208"/>
    </row>
    <row r="209" spans="1:12" ht="12.75">
      <c r="A209" s="15">
        <v>36311</v>
      </c>
      <c r="B209" s="43">
        <v>1.12661</v>
      </c>
      <c r="C209" s="151">
        <f t="shared" si="23"/>
        <v>1.1899476997763014</v>
      </c>
      <c r="D209" s="151">
        <f t="shared" si="27"/>
        <v>2.069108644629045</v>
      </c>
      <c r="E209" s="151">
        <f t="shared" si="26"/>
        <v>1.1393041955201209</v>
      </c>
      <c r="F209" s="152">
        <f t="shared" si="25"/>
        <v>1.1631117483902644</v>
      </c>
      <c r="G209" s="152">
        <f t="shared" si="24"/>
        <v>1.171482567170089</v>
      </c>
      <c r="J209" s="10">
        <v>-4.581627261920495</v>
      </c>
      <c r="K209" s="10"/>
      <c r="L209"/>
    </row>
    <row r="210" spans="1:12" ht="12.75">
      <c r="A210" s="15">
        <v>36341</v>
      </c>
      <c r="B210" s="43">
        <v>1.4267</v>
      </c>
      <c r="C210" s="151">
        <f t="shared" si="23"/>
        <v>2.156896324466783</v>
      </c>
      <c r="D210" s="151">
        <f t="shared" si="27"/>
        <v>3.168902708226056</v>
      </c>
      <c r="E210" s="151">
        <f t="shared" si="26"/>
        <v>2.065100031059259</v>
      </c>
      <c r="F210" s="152">
        <f t="shared" si="25"/>
        <v>2.0754555412683993</v>
      </c>
      <c r="G210" s="152">
        <f t="shared" si="24"/>
        <v>1.8984831682086412</v>
      </c>
      <c r="J210" s="10">
        <v>1.9559462218607937</v>
      </c>
      <c r="K210" s="10"/>
      <c r="L210"/>
    </row>
    <row r="211" spans="1:12" ht="12.75">
      <c r="A211" s="15">
        <v>36372</v>
      </c>
      <c r="B211" s="43">
        <v>1.13452</v>
      </c>
      <c r="C211" s="151">
        <f t="shared" si="23"/>
        <v>0.4235707445009677</v>
      </c>
      <c r="D211" s="151">
        <f t="shared" si="27"/>
        <v>0.1198509483571087</v>
      </c>
      <c r="E211" s="151">
        <f t="shared" si="26"/>
        <v>0.4055438120517845</v>
      </c>
      <c r="F211" s="152">
        <f t="shared" si="25"/>
        <v>0.7247973398130056</v>
      </c>
      <c r="G211" s="152">
        <f t="shared" si="24"/>
        <v>0.633112015109465</v>
      </c>
      <c r="J211" s="10">
        <v>-0.7138080966135774</v>
      </c>
      <c r="K211" s="10"/>
      <c r="L211"/>
    </row>
    <row r="212" spans="1:12" ht="12.75">
      <c r="A212" s="15">
        <v>36403</v>
      </c>
      <c r="B212" s="43">
        <v>1.13311</v>
      </c>
      <c r="C212" s="151">
        <f t="shared" si="23"/>
        <v>1.1296791065430434</v>
      </c>
      <c r="D212" s="151">
        <f t="shared" si="27"/>
        <v>0.5132181527016905</v>
      </c>
      <c r="E212" s="151">
        <f t="shared" si="26"/>
        <v>1.0816005996884261</v>
      </c>
      <c r="F212" s="152">
        <f t="shared" si="25"/>
        <v>1.1311327635332207</v>
      </c>
      <c r="G212" s="152">
        <f t="shared" si="24"/>
        <v>1.1304533409708453</v>
      </c>
      <c r="J212" s="10">
        <v>0.4775839788864866</v>
      </c>
      <c r="K212" s="10"/>
      <c r="L212"/>
    </row>
    <row r="213" spans="1:12" ht="12.75">
      <c r="A213" s="15">
        <v>36433</v>
      </c>
      <c r="B213" s="43">
        <v>1.36425</v>
      </c>
      <c r="C213" s="151">
        <f t="shared" si="23"/>
        <v>1.926673201163824</v>
      </c>
      <c r="D213" s="151">
        <f t="shared" si="27"/>
        <v>2.661210832140963</v>
      </c>
      <c r="E213" s="151">
        <f t="shared" si="26"/>
        <v>1.8446750742866915</v>
      </c>
      <c r="F213" s="152">
        <f t="shared" si="25"/>
        <v>1.6883765510152022</v>
      </c>
      <c r="G213" s="152">
        <f t="shared" si="24"/>
        <v>1.7923475927263226</v>
      </c>
      <c r="J213" s="10">
        <v>-3.8447012871243302</v>
      </c>
      <c r="K213" s="10"/>
      <c r="L213"/>
    </row>
    <row r="214" spans="1:12" ht="12.75">
      <c r="A214" s="15">
        <v>36464</v>
      </c>
      <c r="B214" s="43">
        <v>1.19553</v>
      </c>
      <c r="C214" s="151">
        <f t="shared" si="23"/>
        <v>0.7849907488952133</v>
      </c>
      <c r="D214" s="151">
        <f t="shared" si="27"/>
        <v>0.7307770585994917</v>
      </c>
      <c r="E214" s="151">
        <f t="shared" si="26"/>
        <v>0.7515819845098453</v>
      </c>
      <c r="F214" s="152">
        <f t="shared" si="25"/>
        <v>0.9589347257623736</v>
      </c>
      <c r="G214" s="152">
        <f t="shared" si="24"/>
        <v>0.8960908721867333</v>
      </c>
      <c r="J214" s="10">
        <v>2.7695312638220004</v>
      </c>
      <c r="K214" s="10"/>
      <c r="L214"/>
    </row>
    <row r="215" spans="1:12" ht="12.75">
      <c r="A215" s="15">
        <v>36494</v>
      </c>
      <c r="B215" s="43">
        <v>1.38786</v>
      </c>
      <c r="C215" s="151">
        <f t="shared" si="23"/>
        <v>1.855848467075532</v>
      </c>
      <c r="D215" s="151">
        <f t="shared" si="27"/>
        <v>2.1161306009251697</v>
      </c>
      <c r="E215" s="151">
        <f t="shared" si="26"/>
        <v>1.776864601012482</v>
      </c>
      <c r="F215" s="152">
        <f t="shared" si="25"/>
        <v>1.657563467840936</v>
      </c>
      <c r="G215" s="152">
        <f t="shared" si="24"/>
        <v>1.7164872230679562</v>
      </c>
      <c r="J215" s="10">
        <v>6.284301640969847</v>
      </c>
      <c r="K215" s="10"/>
      <c r="L215"/>
    </row>
    <row r="216" spans="1:12" ht="12.75">
      <c r="A216" s="15">
        <v>36525</v>
      </c>
      <c r="B216" s="43">
        <v>1.35007</v>
      </c>
      <c r="C216" s="151">
        <f t="shared" si="23"/>
        <v>1.2581171888380165</v>
      </c>
      <c r="D216" s="151">
        <f t="shared" si="27"/>
        <v>1.540371201129149</v>
      </c>
      <c r="E216" s="151">
        <f t="shared" si="26"/>
        <v>1.204572429501392</v>
      </c>
      <c r="F216" s="152">
        <f t="shared" si="25"/>
        <v>1.297077258099574</v>
      </c>
      <c r="G216" s="152">
        <f t="shared" si="24"/>
        <v>1.2829400438857548</v>
      </c>
      <c r="J216" s="10">
        <v>5.026401891865628</v>
      </c>
      <c r="K216" s="10"/>
      <c r="L216"/>
    </row>
    <row r="217" spans="1:12" ht="12.75">
      <c r="A217" s="15">
        <v>36556</v>
      </c>
      <c r="B217" s="43">
        <v>0.96835</v>
      </c>
      <c r="C217" s="151">
        <f t="shared" si="23"/>
        <v>0.03952684369535759</v>
      </c>
      <c r="D217" s="151">
        <f t="shared" si="27"/>
        <v>-1.2575646713065658</v>
      </c>
      <c r="E217" s="151">
        <f t="shared" si="26"/>
        <v>0.03784460347816524</v>
      </c>
      <c r="F217" s="152">
        <f t="shared" si="25"/>
        <v>0.3078838667480432</v>
      </c>
      <c r="G217" s="152">
        <f t="shared" si="24"/>
        <v>0.2603732339674282</v>
      </c>
      <c r="J217" s="10">
        <v>-8.21052047155203</v>
      </c>
      <c r="K217" s="10"/>
      <c r="L217"/>
    </row>
    <row r="218" spans="1:12" ht="12.75">
      <c r="A218" s="15">
        <v>36585</v>
      </c>
      <c r="B218" s="43">
        <v>1.00331</v>
      </c>
      <c r="C218" s="151">
        <f t="shared" si="23"/>
        <v>1.088376691670361</v>
      </c>
      <c r="D218" s="151">
        <f t="shared" si="27"/>
        <v>0.40042150301171503</v>
      </c>
      <c r="E218" s="151">
        <f t="shared" si="26"/>
        <v>1.0420559923427373</v>
      </c>
      <c r="F218" s="152">
        <f t="shared" si="25"/>
        <v>1.0637990915291007</v>
      </c>
      <c r="G218" s="152">
        <f t="shared" si="24"/>
        <v>1.0660565881003519</v>
      </c>
      <c r="J218" s="10">
        <v>0.455665066014288</v>
      </c>
      <c r="K218" s="10"/>
      <c r="L218"/>
    </row>
    <row r="219" spans="1:12" ht="12.75">
      <c r="A219" s="15">
        <v>36616</v>
      </c>
      <c r="B219" s="43">
        <v>1.11814</v>
      </c>
      <c r="C219" s="151">
        <f t="shared" si="23"/>
        <v>1.3975509898314527</v>
      </c>
      <c r="D219" s="151">
        <f t="shared" si="27"/>
        <v>1.8371579680243013</v>
      </c>
      <c r="E219" s="151">
        <f t="shared" si="26"/>
        <v>1.338072006414733</v>
      </c>
      <c r="F219" s="152">
        <f t="shared" si="25"/>
        <v>1.2791655769363834</v>
      </c>
      <c r="G219" s="152">
        <f t="shared" si="24"/>
        <v>1.3236384593316752</v>
      </c>
      <c r="J219" s="10">
        <v>4.051943012547543</v>
      </c>
      <c r="K219" s="10"/>
      <c r="L219"/>
    </row>
    <row r="220" spans="1:12" ht="12.75">
      <c r="A220" s="15">
        <v>36646</v>
      </c>
      <c r="B220" s="43">
        <v>0.8557</v>
      </c>
      <c r="C220" s="151">
        <f t="shared" si="23"/>
        <v>0.2171158306072768</v>
      </c>
      <c r="D220" s="151">
        <f t="shared" si="27"/>
        <v>-0.3797349496447104</v>
      </c>
      <c r="E220" s="151">
        <f t="shared" si="26"/>
        <v>0.20787550307564592</v>
      </c>
      <c r="F220" s="152">
        <f t="shared" si="25"/>
        <v>0.4016165566104909</v>
      </c>
      <c r="G220" s="152">
        <f t="shared" si="24"/>
        <v>0.378993706201948</v>
      </c>
      <c r="J220" s="10">
        <v>-3.492618692454086</v>
      </c>
      <c r="K220" s="10"/>
      <c r="L220"/>
    </row>
    <row r="221" spans="1:12" ht="12.75">
      <c r="A221" s="15">
        <v>36677</v>
      </c>
      <c r="B221" s="43">
        <v>0.91335</v>
      </c>
      <c r="C221" s="151">
        <f t="shared" si="23"/>
        <v>1.0536273104918856</v>
      </c>
      <c r="D221" s="151">
        <f t="shared" si="27"/>
        <v>0.6878966900854656</v>
      </c>
      <c r="E221" s="151">
        <f t="shared" si="26"/>
        <v>1.0087855252660687</v>
      </c>
      <c r="F221" s="152">
        <f t="shared" si="25"/>
        <v>1.0130981729591724</v>
      </c>
      <c r="G221" s="152">
        <f t="shared" si="24"/>
        <v>1.0148113197448165</v>
      </c>
      <c r="J221" s="10">
        <v>0.5100069288988429</v>
      </c>
      <c r="K221" s="10"/>
      <c r="L221"/>
    </row>
    <row r="222" spans="1:12" ht="12.75">
      <c r="A222" s="15">
        <v>36707</v>
      </c>
      <c r="B222" s="43">
        <v>0.8067</v>
      </c>
      <c r="C222" s="151">
        <f t="shared" si="23"/>
        <v>0.5471930587344386</v>
      </c>
      <c r="D222" s="151">
        <f t="shared" si="27"/>
        <v>0.32765456380351304</v>
      </c>
      <c r="E222" s="151">
        <f t="shared" si="26"/>
        <v>0.5239048301810496</v>
      </c>
      <c r="F222" s="152">
        <f t="shared" si="25"/>
        <v>0.6221702056184607</v>
      </c>
      <c r="G222" s="152">
        <f t="shared" si="24"/>
        <v>0.6151776272085583</v>
      </c>
      <c r="J222" s="10">
        <v>0.4146187065619644</v>
      </c>
      <c r="K222" s="10"/>
      <c r="L222"/>
    </row>
    <row r="223" spans="1:12" ht="12.75">
      <c r="A223" s="15">
        <v>36738</v>
      </c>
      <c r="B223" s="43">
        <v>0.75663</v>
      </c>
      <c r="C223" s="151">
        <f t="shared" si="23"/>
        <v>0.6347967834114707</v>
      </c>
      <c r="D223" s="151">
        <f t="shared" si="27"/>
        <v>0.25166489568741746</v>
      </c>
      <c r="E223" s="151">
        <f t="shared" si="26"/>
        <v>0.6077801896497852</v>
      </c>
      <c r="F223" s="152">
        <f t="shared" si="25"/>
        <v>0.6699970248037164</v>
      </c>
      <c r="G223" s="152">
        <f t="shared" si="24"/>
        <v>0.6638988168828704</v>
      </c>
      <c r="J223" s="10">
        <v>1.0783103500630498</v>
      </c>
      <c r="K223" s="10"/>
      <c r="L223"/>
    </row>
    <row r="224" spans="1:12" ht="12.75">
      <c r="A224" s="15">
        <v>36769</v>
      </c>
      <c r="B224" s="43">
        <v>0.73459</v>
      </c>
      <c r="C224" s="151">
        <f aca="true" t="shared" si="28" ref="C224:C287">(B224-$C$4*B223)/(1-$C$4)</f>
        <v>0.6809609987295546</v>
      </c>
      <c r="D224" s="151">
        <f t="shared" si="27"/>
        <v>0.5057686017282743</v>
      </c>
      <c r="E224" s="151">
        <f t="shared" si="26"/>
        <v>0.651979681950728</v>
      </c>
      <c r="F224" s="152">
        <f t="shared" si="25"/>
        <v>0.6964555727316536</v>
      </c>
      <c r="G224" s="152">
        <f t="shared" si="24"/>
        <v>0.6855139084383979</v>
      </c>
      <c r="J224" s="10">
        <v>4.753772355759023</v>
      </c>
      <c r="K224" s="10"/>
      <c r="L224"/>
    </row>
    <row r="225" spans="1:12" ht="12.75">
      <c r="A225" s="15">
        <v>36799</v>
      </c>
      <c r="B225" s="43">
        <v>0.827</v>
      </c>
      <c r="C225" s="151">
        <f t="shared" si="28"/>
        <v>1.0518573506080686</v>
      </c>
      <c r="D225" s="151">
        <f t="shared" si="27"/>
        <v>1.3005448042582015</v>
      </c>
      <c r="E225" s="151">
        <f t="shared" si="26"/>
        <v>1.0070908938785597</v>
      </c>
      <c r="F225" s="152">
        <f t="shared" si="25"/>
        <v>0.9868912170538963</v>
      </c>
      <c r="G225" s="152">
        <f t="shared" si="24"/>
        <v>1.092012157085154</v>
      </c>
      <c r="J225" s="10">
        <v>-5.568284190412054</v>
      </c>
      <c r="K225" s="10"/>
      <c r="L225"/>
    </row>
    <row r="226" spans="1:12" ht="12.75">
      <c r="A226" s="15">
        <v>36830</v>
      </c>
      <c r="B226" s="43">
        <v>0.75308</v>
      </c>
      <c r="C226" s="151">
        <f t="shared" si="28"/>
        <v>0.5732135855757122</v>
      </c>
      <c r="D226" s="151">
        <f t="shared" si="27"/>
        <v>0.5309093919704299</v>
      </c>
      <c r="E226" s="151">
        <f t="shared" si="26"/>
        <v>0.5488179380474542</v>
      </c>
      <c r="F226" s="152">
        <f t="shared" si="25"/>
        <v>0.6251808682542579</v>
      </c>
      <c r="G226" s="152">
        <f t="shared" si="24"/>
        <v>0.5430780807195191</v>
      </c>
      <c r="J226" s="10">
        <v>1.6125518261282945</v>
      </c>
      <c r="K226" s="10"/>
      <c r="L226"/>
    </row>
    <row r="227" spans="1:12" ht="12.75">
      <c r="A227" s="15">
        <v>36860</v>
      </c>
      <c r="B227" s="43">
        <v>0.69959</v>
      </c>
      <c r="C227" s="151">
        <f t="shared" si="28"/>
        <v>0.5694350418350222</v>
      </c>
      <c r="D227" s="151">
        <f t="shared" si="27"/>
        <v>0.24394306040075653</v>
      </c>
      <c r="E227" s="151">
        <f t="shared" si="26"/>
        <v>0.5452002070013472</v>
      </c>
      <c r="F227" s="152">
        <f t="shared" si="25"/>
        <v>0.6070396136758694</v>
      </c>
      <c r="G227" s="152">
        <f aca="true" t="shared" si="29" ref="G227:G288">(B227-$G$4*CORREL(B190:B225,B191:B226)*B226)/(1-$G$4*CORREL(B190:B225,B191:B226))</f>
        <v>0.5509141837921806</v>
      </c>
      <c r="J227" s="10">
        <v>-4.325565832090749</v>
      </c>
      <c r="K227" s="10"/>
      <c r="L227"/>
    </row>
    <row r="228" spans="1:12" ht="12.75">
      <c r="A228" s="15">
        <v>36891</v>
      </c>
      <c r="B228" s="43">
        <v>0.59973</v>
      </c>
      <c r="C228" s="151">
        <f t="shared" si="28"/>
        <v>0.35674487899879054</v>
      </c>
      <c r="D228" s="151">
        <f t="shared" si="27"/>
        <v>-0.07390833089895658</v>
      </c>
      <c r="E228" s="151">
        <f t="shared" si="26"/>
        <v>0.34156201776771106</v>
      </c>
      <c r="F228" s="152">
        <f t="shared" si="25"/>
        <v>0.3245550911168232</v>
      </c>
      <c r="G228" s="152">
        <f t="shared" si="29"/>
        <v>0.34273440781595427</v>
      </c>
      <c r="J228" s="10">
        <v>1.3157626669745293</v>
      </c>
      <c r="K228" s="10"/>
      <c r="L228"/>
    </row>
    <row r="229" spans="1:12" ht="12.75">
      <c r="A229" s="15">
        <v>36922</v>
      </c>
      <c r="B229" s="43">
        <v>0.68593</v>
      </c>
      <c r="C229" s="151">
        <f t="shared" si="28"/>
        <v>0.8956768198508338</v>
      </c>
      <c r="D229" s="151">
        <f t="shared" si="27"/>
        <v>0.9615586094010337</v>
      </c>
      <c r="E229" s="151">
        <f t="shared" si="26"/>
        <v>0.8575573185930851</v>
      </c>
      <c r="F229" s="152">
        <f t="shared" si="25"/>
        <v>0.8350764442164903</v>
      </c>
      <c r="G229" s="152">
        <f t="shared" si="29"/>
        <v>0.8882109609796528</v>
      </c>
      <c r="J229" s="10">
        <v>1.5496965289344855</v>
      </c>
      <c r="K229" s="10"/>
      <c r="L229"/>
    </row>
    <row r="230" spans="1:12" ht="12.75">
      <c r="A230" s="15">
        <v>36950</v>
      </c>
      <c r="B230" s="43">
        <v>0.59033</v>
      </c>
      <c r="C230" s="151">
        <f t="shared" si="28"/>
        <v>0.35771055710278776</v>
      </c>
      <c r="D230" s="151">
        <f t="shared" si="27"/>
        <v>0.23322604115732282</v>
      </c>
      <c r="E230" s="151">
        <f t="shared" si="26"/>
        <v>0.3424865971552024</v>
      </c>
      <c r="F230" s="152">
        <f t="shared" si="25"/>
        <v>0.3268939766750283</v>
      </c>
      <c r="G230" s="152">
        <f t="shared" si="29"/>
        <v>0.3240829453333853</v>
      </c>
      <c r="J230" s="10">
        <v>-5.348096566063276</v>
      </c>
      <c r="K230" s="10"/>
      <c r="L230"/>
    </row>
    <row r="231" spans="1:12" ht="12.75">
      <c r="A231" s="15">
        <v>36981</v>
      </c>
      <c r="B231" s="43">
        <v>0.5031</v>
      </c>
      <c r="C231" s="151">
        <f t="shared" si="28"/>
        <v>0.2908469246451484</v>
      </c>
      <c r="D231" s="151">
        <f t="shared" si="27"/>
        <v>-0.18770627035038695</v>
      </c>
      <c r="E231" s="151">
        <f t="shared" si="26"/>
        <v>0.2784686432560314</v>
      </c>
      <c r="F231" s="152">
        <f t="shared" si="25"/>
        <v>0.26272840675065595</v>
      </c>
      <c r="G231" s="152">
        <f t="shared" si="29"/>
        <v>0.24569752953622814</v>
      </c>
      <c r="J231" s="10">
        <v>-5.4602510460251</v>
      </c>
      <c r="K231" s="10"/>
      <c r="L231"/>
    </row>
    <row r="232" spans="1:12" ht="12.75">
      <c r="A232" s="15">
        <v>37011</v>
      </c>
      <c r="B232" s="43">
        <v>0.55704</v>
      </c>
      <c r="C232" s="151">
        <f t="shared" si="28"/>
        <v>0.6882899241618788</v>
      </c>
      <c r="D232" s="151">
        <f t="shared" si="27"/>
        <v>0.6776939379572836</v>
      </c>
      <c r="E232" s="151">
        <f t="shared" si="26"/>
        <v>0.658996692442257</v>
      </c>
      <c r="F232" s="152">
        <f t="shared" si="25"/>
        <v>0.7056774382651565</v>
      </c>
      <c r="G232" s="152">
        <f t="shared" si="29"/>
        <v>0.7338453709113162</v>
      </c>
      <c r="J232" s="10">
        <v>5.81397064247251</v>
      </c>
      <c r="K232" s="10"/>
      <c r="L232"/>
    </row>
    <row r="233" spans="1:12" ht="12.75">
      <c r="A233" s="15">
        <v>37042</v>
      </c>
      <c r="B233" s="43">
        <v>0.54869</v>
      </c>
      <c r="C233" s="151">
        <f t="shared" si="28"/>
        <v>0.5283722976130575</v>
      </c>
      <c r="D233" s="151">
        <f t="shared" si="27"/>
        <v>0.6147059134023933</v>
      </c>
      <c r="E233" s="151">
        <f t="shared" si="26"/>
        <v>0.5058850700583968</v>
      </c>
      <c r="F233" s="152">
        <f t="shared" si="25"/>
        <v>0.5256806820631433</v>
      </c>
      <c r="G233" s="152">
        <f t="shared" si="29"/>
        <v>0.518630029885081</v>
      </c>
      <c r="J233" s="10">
        <v>-2.0153082564202673</v>
      </c>
      <c r="K233" s="10"/>
      <c r="L233"/>
    </row>
    <row r="234" spans="1:12" ht="12.75">
      <c r="A234" s="15">
        <v>37072</v>
      </c>
      <c r="B234" s="43">
        <v>0.5695</v>
      </c>
      <c r="C234" s="151">
        <f t="shared" si="28"/>
        <v>0.6201360942122488</v>
      </c>
      <c r="D234" s="151">
        <f t="shared" si="27"/>
        <v>0.6690450593850482</v>
      </c>
      <c r="E234" s="151">
        <f t="shared" si="26"/>
        <v>0.5937434511300754</v>
      </c>
      <c r="F234" s="152">
        <f t="shared" si="25"/>
        <v>0.6268441803911367</v>
      </c>
      <c r="G234" s="152">
        <f t="shared" si="29"/>
        <v>0.6463218216138471</v>
      </c>
      <c r="J234" s="10">
        <v>-2.9560119805635776</v>
      </c>
      <c r="K234" s="10"/>
      <c r="L234"/>
    </row>
    <row r="235" spans="1:12" ht="12.75">
      <c r="A235" s="15">
        <v>37103</v>
      </c>
      <c r="B235" s="43">
        <v>0.51782</v>
      </c>
      <c r="C235" s="151">
        <f t="shared" si="28"/>
        <v>0.3920692384003354</v>
      </c>
      <c r="D235" s="151">
        <f t="shared" si="27"/>
        <v>0.2707614651561448</v>
      </c>
      <c r="E235" s="151">
        <f t="shared" si="26"/>
        <v>0.3753829923179425</v>
      </c>
      <c r="F235" s="152">
        <f t="shared" si="25"/>
        <v>0.3754102334159566</v>
      </c>
      <c r="G235" s="152">
        <f t="shared" si="29"/>
        <v>0.3233006492021714</v>
      </c>
      <c r="J235" s="10">
        <v>-2.3532689177895527</v>
      </c>
      <c r="K235" s="10"/>
      <c r="L235"/>
    </row>
    <row r="236" spans="1:12" ht="12.75">
      <c r="A236" s="15">
        <v>37134</v>
      </c>
      <c r="B236" s="43">
        <v>0.53434</v>
      </c>
      <c r="C236" s="151">
        <f t="shared" si="28"/>
        <v>0.5745374183751251</v>
      </c>
      <c r="D236" s="151">
        <f t="shared" si="27"/>
        <v>0.5190050553726704</v>
      </c>
      <c r="E236" s="151">
        <f t="shared" si="26"/>
        <v>0.550085429268137</v>
      </c>
      <c r="F236" s="152">
        <f t="shared" si="25"/>
        <v>0.5798626266247757</v>
      </c>
      <c r="G236" s="152">
        <f t="shared" si="29"/>
        <v>0.5985257266956273</v>
      </c>
      <c r="J236" s="10">
        <v>-2.7684765308267467</v>
      </c>
      <c r="K236" s="10"/>
      <c r="L236"/>
    </row>
    <row r="237" spans="1:12" ht="12.75">
      <c r="A237" s="15">
        <v>37164</v>
      </c>
      <c r="B237" s="43">
        <v>0.47806</v>
      </c>
      <c r="C237" s="151">
        <f t="shared" si="28"/>
        <v>0.34111625265423523</v>
      </c>
      <c r="D237" s="151">
        <f t="shared" si="27"/>
        <v>0.196146135595393</v>
      </c>
      <c r="E237" s="151">
        <f t="shared" si="26"/>
        <v>0.3265985369627013</v>
      </c>
      <c r="F237" s="152">
        <f t="shared" si="25"/>
        <v>0.3229744414986463</v>
      </c>
      <c r="G237" s="152">
        <f t="shared" si="29"/>
        <v>0.24964683627902645</v>
      </c>
      <c r="J237" s="10">
        <v>-9.63990780527918</v>
      </c>
      <c r="K237" s="10"/>
      <c r="L237"/>
    </row>
    <row r="238" spans="1:12" ht="12.75">
      <c r="A238" s="15">
        <v>37195</v>
      </c>
      <c r="B238" s="43">
        <v>0.50343</v>
      </c>
      <c r="C238" s="151">
        <f t="shared" si="28"/>
        <v>0.5651617496475134</v>
      </c>
      <c r="D238" s="151">
        <f t="shared" si="27"/>
        <v>0.5282322320663371</v>
      </c>
      <c r="E238" s="151">
        <f t="shared" si="26"/>
        <v>0.5411087837238137</v>
      </c>
      <c r="F238" s="152">
        <f t="shared" si="25"/>
        <v>0.5733397480309053</v>
      </c>
      <c r="G238" s="152">
        <f t="shared" si="29"/>
        <v>0.6214204642476688</v>
      </c>
      <c r="J238" s="10">
        <v>3.1198728465955616</v>
      </c>
      <c r="K238" s="10"/>
      <c r="L238"/>
    </row>
    <row r="239" spans="1:12" ht="12.75">
      <c r="A239" s="15">
        <v>37225</v>
      </c>
      <c r="B239" s="43">
        <v>0.64</v>
      </c>
      <c r="C239" s="151">
        <f t="shared" si="28"/>
        <v>0.9723100137706303</v>
      </c>
      <c r="D239" s="151">
        <f t="shared" si="27"/>
        <v>1.4611961354569538</v>
      </c>
      <c r="E239" s="151">
        <f t="shared" si="26"/>
        <v>0.9309290469180731</v>
      </c>
      <c r="F239" s="152">
        <f t="shared" si="25"/>
        <v>0.8762984905643396</v>
      </c>
      <c r="G239" s="152">
        <f t="shared" si="29"/>
        <v>1.2986726212451232</v>
      </c>
      <c r="J239" s="10">
        <v>4.166977418686546</v>
      </c>
      <c r="K239" s="10"/>
      <c r="L239"/>
    </row>
    <row r="240" spans="1:12" ht="12.75">
      <c r="A240" s="15">
        <v>37256</v>
      </c>
      <c r="B240" s="43">
        <v>0.71557</v>
      </c>
      <c r="C240" s="151">
        <f t="shared" si="28"/>
        <v>0.8994512897462587</v>
      </c>
      <c r="D240" s="151">
        <f t="shared" si="27"/>
        <v>1.426611721806056</v>
      </c>
      <c r="E240" s="151">
        <f t="shared" si="26"/>
        <v>0.8611711491744882</v>
      </c>
      <c r="F240" s="152">
        <f t="shared" si="25"/>
        <v>0.8463240230793524</v>
      </c>
      <c r="G240" s="152">
        <f t="shared" si="29"/>
        <v>1.1008709103146168</v>
      </c>
      <c r="J240" s="10">
        <v>0.39020393226918415</v>
      </c>
      <c r="K240" s="10"/>
      <c r="L240"/>
    </row>
    <row r="241" spans="1:12" ht="12.75">
      <c r="A241" s="15">
        <v>37287</v>
      </c>
      <c r="B241" s="43">
        <v>0.56751</v>
      </c>
      <c r="C241" s="151">
        <f t="shared" si="28"/>
        <v>0.20724185444182802</v>
      </c>
      <c r="D241" s="151">
        <f t="shared" si="27"/>
        <v>-0.10688927785730856</v>
      </c>
      <c r="E241" s="151">
        <f t="shared" si="26"/>
        <v>0.19842175777753218</v>
      </c>
      <c r="F241" s="152">
        <f t="shared" si="25"/>
        <v>0.1595148366789189</v>
      </c>
      <c r="G241" s="152">
        <f t="shared" si="29"/>
        <v>-0.32268348848788503</v>
      </c>
      <c r="J241" s="10">
        <v>-1.1038559677956306</v>
      </c>
      <c r="K241" s="10"/>
      <c r="L241"/>
    </row>
    <row r="242" spans="1:12" ht="12.75">
      <c r="A242" s="15">
        <v>37315</v>
      </c>
      <c r="B242" s="43">
        <v>0.65443</v>
      </c>
      <c r="C242" s="151">
        <f t="shared" si="28"/>
        <v>0.8659287654458752</v>
      </c>
      <c r="D242" s="151">
        <f t="shared" si="27"/>
        <v>0.8331544031426954</v>
      </c>
      <c r="E242" s="151">
        <f t="shared" si="26"/>
        <v>0.8290753246378032</v>
      </c>
      <c r="F242" s="152">
        <f t="shared" si="25"/>
        <v>0.8048222149802474</v>
      </c>
      <c r="G242" s="152">
        <f t="shared" si="29"/>
        <v>1.1785851403964291</v>
      </c>
      <c r="J242" s="10">
        <v>-1.1634522159277627</v>
      </c>
      <c r="K242" s="10"/>
      <c r="L242"/>
    </row>
    <row r="243" spans="1:12" ht="12.75">
      <c r="A243" s="15">
        <v>37346</v>
      </c>
      <c r="B243" s="43">
        <v>0.66653</v>
      </c>
      <c r="C243" s="151">
        <f t="shared" si="28"/>
        <v>0.6959724190277852</v>
      </c>
      <c r="D243" s="151">
        <f t="shared" si="27"/>
        <v>0.9166307862554498</v>
      </c>
      <c r="E243" s="151">
        <f t="shared" si="26"/>
        <v>0.6663522246513064</v>
      </c>
      <c r="F243" s="152">
        <f t="shared" si="25"/>
        <v>0.6874658697798088</v>
      </c>
      <c r="G243" s="152">
        <f t="shared" si="29"/>
        <v>0.7418504640090062</v>
      </c>
      <c r="J243" s="10">
        <v>3.6652100949339017</v>
      </c>
      <c r="K243" s="10"/>
      <c r="L243"/>
    </row>
    <row r="244" spans="1:12" ht="12.75">
      <c r="A244" s="15">
        <v>37376</v>
      </c>
      <c r="B244" s="43">
        <v>0.80091</v>
      </c>
      <c r="C244" s="151">
        <f t="shared" si="28"/>
        <v>1.1278911792523783</v>
      </c>
      <c r="D244" s="151">
        <f t="shared" si="27"/>
        <v>1.5819961286923927</v>
      </c>
      <c r="E244" s="151">
        <f t="shared" si="26"/>
        <v>1.0798887655767904</v>
      </c>
      <c r="F244" s="152">
        <f t="shared" si="25"/>
        <v>1.0334192711579115</v>
      </c>
      <c r="G244" s="152">
        <f t="shared" si="29"/>
        <v>1.645297523336712</v>
      </c>
      <c r="J244" s="10">
        <v>-1.7736763900836894</v>
      </c>
      <c r="K244" s="10"/>
      <c r="L244"/>
    </row>
    <row r="245" spans="1:12" ht="12.75">
      <c r="A245" s="15">
        <v>37407</v>
      </c>
      <c r="B245" s="43">
        <v>0.94851</v>
      </c>
      <c r="C245" s="151">
        <f t="shared" si="28"/>
        <v>1.3076588469835617</v>
      </c>
      <c r="D245" s="151">
        <f t="shared" si="27"/>
        <v>2.0600561542671523</v>
      </c>
      <c r="E245" s="151">
        <f t="shared" si="26"/>
        <v>1.2520056225642922</v>
      </c>
      <c r="F245" s="152">
        <f t="shared" si="25"/>
        <v>1.2038930065702313</v>
      </c>
      <c r="G245" s="152">
        <f t="shared" si="29"/>
        <v>2.0695594520668075</v>
      </c>
      <c r="J245" s="10">
        <v>-1.4518080922278132</v>
      </c>
      <c r="K245" s="10"/>
      <c r="L245"/>
    </row>
    <row r="246" spans="1:12" ht="12.75">
      <c r="A246" s="15">
        <v>37437</v>
      </c>
      <c r="B246" s="43">
        <v>1.11864</v>
      </c>
      <c r="C246" s="151">
        <f t="shared" si="28"/>
        <v>1.532610144561744</v>
      </c>
      <c r="D246" s="151">
        <f t="shared" si="27"/>
        <v>2.3845820729083367</v>
      </c>
      <c r="E246" s="151">
        <f t="shared" si="26"/>
        <v>1.467383119547309</v>
      </c>
      <c r="F246" s="152">
        <f t="shared" si="25"/>
        <v>1.357212510704406</v>
      </c>
      <c r="G246" s="152">
        <f t="shared" si="29"/>
        <v>2.326574099596489</v>
      </c>
      <c r="J246" s="10">
        <v>-8.582265902398245</v>
      </c>
      <c r="K246" s="10"/>
      <c r="L246"/>
    </row>
    <row r="247" spans="1:12" ht="12.75">
      <c r="A247" s="15">
        <v>37468</v>
      </c>
      <c r="B247" s="43">
        <v>0.87046</v>
      </c>
      <c r="C247" s="151">
        <f t="shared" si="28"/>
        <v>0.2665740864201869</v>
      </c>
      <c r="D247" s="151">
        <f t="shared" si="27"/>
        <v>-0.16895361245550225</v>
      </c>
      <c r="E247" s="151">
        <f t="shared" si="26"/>
        <v>0.25522884336223894</v>
      </c>
      <c r="F247" s="152">
        <f t="shared" si="25"/>
        <v>0.44104973868157127</v>
      </c>
      <c r="G247" s="152">
        <f t="shared" si="29"/>
        <v>-0.9710934751250035</v>
      </c>
      <c r="J247" s="10">
        <v>-9.380896200361455</v>
      </c>
      <c r="K247" s="10"/>
      <c r="L247"/>
    </row>
    <row r="248" spans="1:12" ht="12.75">
      <c r="A248" s="15">
        <v>37499</v>
      </c>
      <c r="B248" s="43">
        <v>1.02381</v>
      </c>
      <c r="C248" s="151">
        <f t="shared" si="28"/>
        <v>1.3969500791661875</v>
      </c>
      <c r="D248" s="151">
        <f t="shared" si="27"/>
        <v>1.366433452380681</v>
      </c>
      <c r="E248" s="151">
        <f t="shared" si="26"/>
        <v>1.3374966701691164</v>
      </c>
      <c r="F248" s="152">
        <f t="shared" si="25"/>
        <v>1.2388519944543623</v>
      </c>
      <c r="G248" s="152">
        <f t="shared" si="29"/>
        <v>2.101788454299913</v>
      </c>
      <c r="J248" s="10">
        <v>-0.22430161740970567</v>
      </c>
      <c r="K248" s="10"/>
      <c r="L248"/>
    </row>
    <row r="249" spans="1:12" ht="12.75">
      <c r="A249" s="15">
        <v>37529</v>
      </c>
      <c r="B249" s="43">
        <v>0.94149</v>
      </c>
      <c r="C249" s="151">
        <f t="shared" si="28"/>
        <v>0.7411842203002247</v>
      </c>
      <c r="D249" s="151">
        <f t="shared" si="27"/>
        <v>0.799715395967611</v>
      </c>
      <c r="E249" s="151">
        <f t="shared" si="26"/>
        <v>0.7096398371122538</v>
      </c>
      <c r="F249" s="152">
        <f t="shared" si="25"/>
        <v>0.7990568760104236</v>
      </c>
      <c r="G249" s="152">
        <f t="shared" si="29"/>
        <v>0.41075283085473036</v>
      </c>
      <c r="J249" s="10">
        <v>-11.960160491836113</v>
      </c>
      <c r="K249" s="10"/>
      <c r="L249"/>
    </row>
    <row r="250" spans="1:12" ht="12.75">
      <c r="A250" s="15">
        <v>37560</v>
      </c>
      <c r="B250" s="43">
        <v>0.76297</v>
      </c>
      <c r="C250" s="151">
        <f t="shared" si="28"/>
        <v>0.32858482274047796</v>
      </c>
      <c r="D250" s="151">
        <f t="shared" si="27"/>
        <v>-0.41342983181566423</v>
      </c>
      <c r="E250" s="151">
        <f t="shared" si="26"/>
        <v>0.3146004376518711</v>
      </c>
      <c r="F250" s="152">
        <f t="shared" si="25"/>
        <v>0.45408806007508307</v>
      </c>
      <c r="G250" s="152">
        <f t="shared" si="29"/>
        <v>-0.4141421124075465</v>
      </c>
      <c r="J250" s="10">
        <v>7.617625507915693</v>
      </c>
      <c r="K250" s="10"/>
      <c r="L250"/>
    </row>
    <row r="251" spans="1:12" ht="12.75">
      <c r="A251" s="15">
        <v>37590</v>
      </c>
      <c r="B251" s="43">
        <v>0.79484</v>
      </c>
      <c r="C251" s="151">
        <f t="shared" si="28"/>
        <v>0.8723879251583069</v>
      </c>
      <c r="D251" s="151">
        <f t="shared" si="27"/>
        <v>0.600169787101624</v>
      </c>
      <c r="E251" s="151">
        <f t="shared" si="26"/>
        <v>0.8352595861488691</v>
      </c>
      <c r="F251" s="152">
        <f t="shared" si="25"/>
        <v>0.8499826586679762</v>
      </c>
      <c r="G251" s="152">
        <f t="shared" si="29"/>
        <v>0.9754388431735073</v>
      </c>
      <c r="J251" s="10">
        <v>3.314575155644728</v>
      </c>
      <c r="K251" s="10"/>
      <c r="L251"/>
    </row>
    <row r="252" spans="1:12" ht="12.75">
      <c r="A252" s="15">
        <v>37621</v>
      </c>
      <c r="B252" s="43">
        <v>0.83138</v>
      </c>
      <c r="C252" s="151">
        <f t="shared" si="28"/>
        <v>0.9202912389483698</v>
      </c>
      <c r="D252" s="151">
        <f t="shared" si="27"/>
        <v>1.1036289655786882</v>
      </c>
      <c r="E252" s="151">
        <f t="shared" si="26"/>
        <v>0.8811241618697983</v>
      </c>
      <c r="F252" s="152">
        <f t="shared" si="25"/>
        <v>0.8946028662606793</v>
      </c>
      <c r="G252" s="152">
        <f t="shared" si="29"/>
        <v>1.0260181081456108</v>
      </c>
      <c r="J252" s="10">
        <v>-5.453900957078739</v>
      </c>
      <c r="K252" s="10"/>
      <c r="L252"/>
    </row>
    <row r="253" spans="1:12" ht="12.75">
      <c r="A253" s="15">
        <v>37652</v>
      </c>
      <c r="B253" s="43">
        <v>0.62539</v>
      </c>
      <c r="C253" s="151">
        <f t="shared" si="28"/>
        <v>0.12416323177409276</v>
      </c>
      <c r="D253" s="151">
        <f t="shared" si="27"/>
        <v>-0.4565504020590034</v>
      </c>
      <c r="E253" s="151">
        <f t="shared" si="26"/>
        <v>0.11887891452385185</v>
      </c>
      <c r="F253" s="152">
        <f aca="true" t="shared" si="30" ref="F253:F288">IF($B253&gt;$H$4,(B253-$F$4*B252)/(1-$F$4),IF(B253&gt;$H$5,(B253-$F$5*B252)/(1-$F$5),IF(B253&gt;$H$6,(B253-$F$6*B252)/(1-$F$6),IF(B253&gt;$H$7,(B253-$F$7*B252)/(1-$F$7),IF(B253&gt;$H$8,(B253-$F$8*B252)/(1-$F$8),(B253-$F$9*B252)/(1-$F$9))))))</f>
        <v>0.26897844496340095</v>
      </c>
      <c r="G253" s="152">
        <f t="shared" si="29"/>
        <v>-0.1827145609492536</v>
      </c>
      <c r="J253" s="10">
        <v>-9.053560961699924</v>
      </c>
      <c r="K253" s="10"/>
      <c r="L253"/>
    </row>
    <row r="254" spans="1:12" ht="12.75">
      <c r="A254" s="15">
        <v>37680</v>
      </c>
      <c r="B254" s="43">
        <v>0.61472</v>
      </c>
      <c r="C254" s="151">
        <f t="shared" si="28"/>
        <v>0.5887571395845895</v>
      </c>
      <c r="D254" s="151">
        <f t="shared" si="27"/>
        <v>0.12327293728903324</v>
      </c>
      <c r="E254" s="151">
        <f aca="true" t="shared" si="31" ref="E254:E288">((B254-$E$4*B253)/(1-$E$4))/$E$6</f>
        <v>0.5636999671475034</v>
      </c>
      <c r="F254" s="152">
        <f t="shared" si="30"/>
        <v>0.5962583693759868</v>
      </c>
      <c r="G254" s="152">
        <f t="shared" si="29"/>
        <v>0.5726581196932973</v>
      </c>
      <c r="J254" s="10">
        <v>2.1367025106254323</v>
      </c>
      <c r="K254" s="10"/>
      <c r="L254"/>
    </row>
    <row r="255" spans="1:12" ht="12.75">
      <c r="A255" s="15">
        <v>37711</v>
      </c>
      <c r="B255" s="43">
        <v>0.73339</v>
      </c>
      <c r="C255" s="151">
        <f t="shared" si="28"/>
        <v>1.0221446996716752</v>
      </c>
      <c r="D255" s="151">
        <f t="shared" si="27"/>
        <v>1.3784331946393347</v>
      </c>
      <c r="E255" s="151">
        <f t="shared" si="31"/>
        <v>0.9786427966401503</v>
      </c>
      <c r="F255" s="152">
        <f t="shared" si="30"/>
        <v>0.9387172451875974</v>
      </c>
      <c r="G255" s="152">
        <f t="shared" si="29"/>
        <v>1.178288342538825</v>
      </c>
      <c r="J255" s="10">
        <v>-1.327966891784338</v>
      </c>
      <c r="K255" s="10"/>
      <c r="L255"/>
    </row>
    <row r="256" spans="1:12" ht="12.75">
      <c r="A256" s="15">
        <v>37741</v>
      </c>
      <c r="B256" s="43">
        <v>1.12311</v>
      </c>
      <c r="C256" s="151">
        <f t="shared" si="28"/>
        <v>2.071399218471773</v>
      </c>
      <c r="D256" s="151">
        <f t="shared" si="27"/>
        <v>3.5634167688105367</v>
      </c>
      <c r="E256" s="151">
        <f t="shared" si="31"/>
        <v>1.9832416337672985</v>
      </c>
      <c r="F256" s="152">
        <f t="shared" si="30"/>
        <v>1.6696125502364139</v>
      </c>
      <c r="G256" s="152">
        <f t="shared" si="29"/>
        <v>2.4065638743198976</v>
      </c>
      <c r="J256" s="10">
        <v>8.974949876708237</v>
      </c>
      <c r="K256" s="10"/>
      <c r="L256"/>
    </row>
    <row r="257" spans="1:12" ht="12.75">
      <c r="A257" s="15">
        <v>37772</v>
      </c>
      <c r="B257" s="43">
        <v>0.7394</v>
      </c>
      <c r="C257" s="151">
        <f t="shared" si="28"/>
        <v>-0.19426533926871647</v>
      </c>
      <c r="D257" s="151">
        <f aca="true" t="shared" si="32" ref="D257:D288">(B257-($D$4*B256+$D$5*B255+$D$6*B254))/(1-$D$4-$D$5-$D$6)</f>
        <v>-0.6022996050096893</v>
      </c>
      <c r="E257" s="151">
        <f t="shared" si="31"/>
        <v>-0.1859975157854381</v>
      </c>
      <c r="F257" s="152">
        <f t="shared" si="30"/>
        <v>0.07549069477599175</v>
      </c>
      <c r="G257" s="152">
        <f t="shared" si="29"/>
        <v>-0.2469574448994172</v>
      </c>
      <c r="J257" s="10">
        <v>4.088289717155691</v>
      </c>
      <c r="K257" s="10"/>
      <c r="L257"/>
    </row>
    <row r="258" spans="1:12" ht="12.75">
      <c r="A258" s="15">
        <v>37802</v>
      </c>
      <c r="B258" s="43">
        <v>0.78205</v>
      </c>
      <c r="C258" s="151">
        <f t="shared" si="28"/>
        <v>0.885828443928516</v>
      </c>
      <c r="D258" s="151">
        <f t="shared" si="32"/>
        <v>0.21824149218101224</v>
      </c>
      <c r="E258" s="151">
        <f t="shared" si="31"/>
        <v>0.8481280840061656</v>
      </c>
      <c r="F258" s="152">
        <f t="shared" si="30"/>
        <v>0.8558446153808971</v>
      </c>
      <c r="G258" s="152">
        <f t="shared" si="29"/>
        <v>0.8650806180872895</v>
      </c>
      <c r="J258" s="10">
        <v>0.12342355612218192</v>
      </c>
      <c r="K258" s="10"/>
      <c r="L258"/>
    </row>
    <row r="259" spans="1:12" ht="12.75">
      <c r="A259" s="15">
        <v>37833</v>
      </c>
      <c r="B259" s="43">
        <v>0.79771</v>
      </c>
      <c r="C259" s="151">
        <f t="shared" si="28"/>
        <v>0.8358148166921584</v>
      </c>
      <c r="D259" s="151">
        <f t="shared" si="32"/>
        <v>0.9751097924461202</v>
      </c>
      <c r="E259" s="151">
        <f t="shared" si="31"/>
        <v>0.8002430085912768</v>
      </c>
      <c r="F259" s="152">
        <f t="shared" si="30"/>
        <v>0.8248055141117198</v>
      </c>
      <c r="G259" s="152">
        <f t="shared" si="29"/>
        <v>0.8278306728452262</v>
      </c>
      <c r="J259" s="10">
        <v>3.782352404046141</v>
      </c>
      <c r="K259" s="10"/>
      <c r="L259"/>
    </row>
    <row r="260" spans="1:12" ht="12.75">
      <c r="A260" s="15">
        <v>37864</v>
      </c>
      <c r="B260" s="43">
        <v>0.78462</v>
      </c>
      <c r="C260" s="151">
        <f t="shared" si="28"/>
        <v>0.7527686557790323</v>
      </c>
      <c r="D260" s="151">
        <f t="shared" si="32"/>
        <v>0.7438022143463735</v>
      </c>
      <c r="E260" s="151">
        <f t="shared" si="31"/>
        <v>0.7207312455382029</v>
      </c>
      <c r="F260" s="152">
        <f t="shared" si="30"/>
        <v>0.7619711954200247</v>
      </c>
      <c r="G260" s="152">
        <f t="shared" si="29"/>
        <v>0.7592896926198162</v>
      </c>
      <c r="J260" s="10">
        <v>0.9248125446031485</v>
      </c>
      <c r="K260" s="10"/>
      <c r="L260"/>
    </row>
    <row r="261" spans="1:12" ht="12.75">
      <c r="A261" s="15">
        <v>37894</v>
      </c>
      <c r="B261" s="43">
        <v>1.20722</v>
      </c>
      <c r="C261" s="151">
        <f t="shared" si="28"/>
        <v>2.2355147339786803</v>
      </c>
      <c r="D261" s="151">
        <f t="shared" si="32"/>
        <v>3.5564741163417835</v>
      </c>
      <c r="E261" s="151">
        <f t="shared" si="31"/>
        <v>2.140372485318267</v>
      </c>
      <c r="F261" s="152">
        <f t="shared" si="30"/>
        <v>1.7998300218872738</v>
      </c>
      <c r="G261" s="152">
        <f t="shared" si="29"/>
        <v>2.0312844742678013</v>
      </c>
      <c r="J261" s="10">
        <v>-1.7929618257020108</v>
      </c>
      <c r="K261" s="10"/>
      <c r="L261"/>
    </row>
    <row r="262" spans="1:12" ht="12.75">
      <c r="A262" s="15">
        <v>37925</v>
      </c>
      <c r="B262" s="43">
        <v>1.04153</v>
      </c>
      <c r="C262" s="151">
        <f t="shared" si="28"/>
        <v>0.6383635199410141</v>
      </c>
      <c r="D262" s="151">
        <f t="shared" si="32"/>
        <v>0.9948246914346067</v>
      </c>
      <c r="E262" s="151">
        <f t="shared" si="31"/>
        <v>0.6111951278804214</v>
      </c>
      <c r="F262" s="152">
        <f t="shared" si="30"/>
        <v>0.8091836807229004</v>
      </c>
      <c r="G262" s="152">
        <f t="shared" si="29"/>
        <v>0.7671146455916313</v>
      </c>
      <c r="J262" s="10">
        <v>4.815753654350696</v>
      </c>
      <c r="K262" s="10"/>
      <c r="L262"/>
    </row>
    <row r="263" spans="1:12" ht="12.75">
      <c r="A263" s="15">
        <v>37955</v>
      </c>
      <c r="B263" s="43">
        <v>0.91255</v>
      </c>
      <c r="C263" s="151">
        <f t="shared" si="28"/>
        <v>0.5987084127104346</v>
      </c>
      <c r="D263" s="151">
        <f t="shared" si="32"/>
        <v>-0.15985651158185776</v>
      </c>
      <c r="E263" s="151">
        <f t="shared" si="31"/>
        <v>0.573227719690891</v>
      </c>
      <c r="F263" s="152">
        <f t="shared" si="30"/>
        <v>0.6893840095702677</v>
      </c>
      <c r="G263" s="152">
        <f t="shared" si="29"/>
        <v>0.663121483231973</v>
      </c>
      <c r="J263" s="10">
        <v>1.0045309757830356</v>
      </c>
      <c r="K263" s="10"/>
      <c r="L263"/>
    </row>
    <row r="264" spans="1:12" ht="12.75">
      <c r="A264" s="15">
        <v>37986</v>
      </c>
      <c r="B264" s="43">
        <v>1.33835</v>
      </c>
      <c r="C264" s="151">
        <f t="shared" si="28"/>
        <v>2.3744311588455327</v>
      </c>
      <c r="D264" s="151">
        <f t="shared" si="32"/>
        <v>3.4628726003781765</v>
      </c>
      <c r="E264" s="151">
        <f t="shared" si="31"/>
        <v>2.2733767053417298</v>
      </c>
      <c r="F264" s="152">
        <f t="shared" si="30"/>
        <v>1.935447367060107</v>
      </c>
      <c r="G264" s="152">
        <f t="shared" si="29"/>
        <v>2.1984671203675163</v>
      </c>
      <c r="J264" s="10">
        <v>2.825706193634958</v>
      </c>
      <c r="K264" s="10"/>
      <c r="L264"/>
    </row>
    <row r="265" spans="1:12" ht="12.75">
      <c r="A265" s="15">
        <v>38017</v>
      </c>
      <c r="B265" s="43">
        <v>0.77563</v>
      </c>
      <c r="C265" s="151">
        <f t="shared" si="28"/>
        <v>-0.5936128128359748</v>
      </c>
      <c r="D265" s="151">
        <f t="shared" si="32"/>
        <v>-1.4972399654285655</v>
      </c>
      <c r="E265" s="151">
        <f t="shared" si="31"/>
        <v>-0.5683489856786691</v>
      </c>
      <c r="F265" s="152">
        <f t="shared" si="30"/>
        <v>-0.19800906136314836</v>
      </c>
      <c r="G265" s="152">
        <f t="shared" si="29"/>
        <v>-0.30733964648250084</v>
      </c>
      <c r="J265" s="10">
        <v>-0.9187362393425991</v>
      </c>
      <c r="K265" s="10"/>
      <c r="L265"/>
    </row>
    <row r="266" spans="1:12" ht="12.75">
      <c r="A266" s="15">
        <v>38046</v>
      </c>
      <c r="B266" s="43">
        <v>1.03895</v>
      </c>
      <c r="C266" s="151">
        <f t="shared" si="28"/>
        <v>1.679675436231108</v>
      </c>
      <c r="D266" s="151">
        <f t="shared" si="32"/>
        <v>1.3412420371312852</v>
      </c>
      <c r="E266" s="151">
        <f t="shared" si="31"/>
        <v>1.6081893951893351</v>
      </c>
      <c r="F266" s="152">
        <f t="shared" si="30"/>
        <v>1.4082024159095055</v>
      </c>
      <c r="G266" s="152">
        <f t="shared" si="29"/>
        <v>1.4154972130721533</v>
      </c>
      <c r="J266" s="10">
        <v>2.574642220291712</v>
      </c>
      <c r="K266" s="10"/>
      <c r="L266"/>
    </row>
    <row r="267" spans="1:12" ht="12.75">
      <c r="A267" s="15">
        <v>38077</v>
      </c>
      <c r="B267" s="43">
        <v>1.63922</v>
      </c>
      <c r="C267" s="151">
        <f t="shared" si="28"/>
        <v>3.0998316421329446</v>
      </c>
      <c r="D267" s="151">
        <f t="shared" si="32"/>
        <v>5.566609206744966</v>
      </c>
      <c r="E267" s="151">
        <f t="shared" si="31"/>
        <v>2.9679045524034424</v>
      </c>
      <c r="F267" s="152">
        <f t="shared" si="30"/>
        <v>2.9369256508286905</v>
      </c>
      <c r="G267" s="152">
        <f t="shared" si="29"/>
        <v>2.454075451931141</v>
      </c>
      <c r="J267" s="10">
        <v>-2.070062984474541</v>
      </c>
      <c r="K267" s="10"/>
      <c r="L267"/>
    </row>
    <row r="268" spans="1:12" ht="12.75">
      <c r="A268" s="15">
        <v>38107</v>
      </c>
      <c r="B268" s="43">
        <v>1.17641</v>
      </c>
      <c r="C268" s="151">
        <f t="shared" si="28"/>
        <v>0.05027397105377907</v>
      </c>
      <c r="D268" s="151">
        <f t="shared" si="32"/>
        <v>-0.16915151217229563</v>
      </c>
      <c r="E268" s="151">
        <f t="shared" si="31"/>
        <v>0.04813433914599372</v>
      </c>
      <c r="F268" s="152">
        <f t="shared" si="30"/>
        <v>0.527413681425345</v>
      </c>
      <c r="G268" s="152">
        <f t="shared" si="29"/>
        <v>0.5562136509692507</v>
      </c>
      <c r="J268" s="10">
        <v>1.837530781030261</v>
      </c>
      <c r="K268" s="10"/>
      <c r="L268"/>
    </row>
    <row r="269" spans="1:12" ht="12.75">
      <c r="A269" s="15">
        <v>38138</v>
      </c>
      <c r="B269" s="43">
        <v>1.60392</v>
      </c>
      <c r="C269" s="151">
        <f t="shared" si="28"/>
        <v>2.644162029633757</v>
      </c>
      <c r="D269" s="151">
        <f t="shared" si="32"/>
        <v>3.038862742471897</v>
      </c>
      <c r="E269" s="151">
        <f t="shared" si="31"/>
        <v>2.5316279821063223</v>
      </c>
      <c r="F269" s="152">
        <f t="shared" si="30"/>
        <v>2.5281410051906206</v>
      </c>
      <c r="G269" s="152">
        <f t="shared" si="29"/>
        <v>2.1910760414684107</v>
      </c>
      <c r="J269" s="10">
        <v>-1.5880465195276527</v>
      </c>
      <c r="K269" s="10"/>
      <c r="L269"/>
    </row>
    <row r="270" spans="1:12" ht="12.75">
      <c r="A270" s="15">
        <v>38168</v>
      </c>
      <c r="B270" s="43">
        <v>2.06997</v>
      </c>
      <c r="C270" s="151">
        <f t="shared" si="28"/>
        <v>3.2039897841239093</v>
      </c>
      <c r="D270" s="151">
        <f t="shared" si="32"/>
        <v>5.586406942950419</v>
      </c>
      <c r="E270" s="151">
        <f t="shared" si="31"/>
        <v>3.0676297825040555</v>
      </c>
      <c r="F270" s="152">
        <f t="shared" si="30"/>
        <v>3.7588796923537413</v>
      </c>
      <c r="G270" s="152">
        <f t="shared" si="29"/>
        <v>2.753558444161581</v>
      </c>
      <c r="J270" s="10">
        <v>1.2199054414322674</v>
      </c>
      <c r="K270" s="10"/>
      <c r="L270"/>
    </row>
    <row r="271" spans="1:12" ht="12.75">
      <c r="A271" s="15">
        <v>38199</v>
      </c>
      <c r="B271" s="43">
        <v>1.37453</v>
      </c>
      <c r="C271" s="151">
        <f t="shared" si="28"/>
        <v>-0.317654784188674</v>
      </c>
      <c r="D271" s="151">
        <f t="shared" si="32"/>
        <v>-1.5604448976320273</v>
      </c>
      <c r="E271" s="151">
        <f t="shared" si="31"/>
        <v>-0.304135575388086</v>
      </c>
      <c r="F271" s="152">
        <f t="shared" si="30"/>
        <v>0.39931771031404223</v>
      </c>
      <c r="G271" s="152">
        <f t="shared" si="29"/>
        <v>-0.125121943427132</v>
      </c>
      <c r="J271" s="10">
        <v>-1.6355045834511417</v>
      </c>
      <c r="K271" s="10"/>
      <c r="L271"/>
    </row>
    <row r="272" spans="1:12" ht="12.75">
      <c r="A272" s="15">
        <v>38230</v>
      </c>
      <c r="B272" s="43">
        <v>1.23389</v>
      </c>
      <c r="C272" s="151">
        <f t="shared" si="28"/>
        <v>0.8916766271018416</v>
      </c>
      <c r="D272" s="151">
        <f t="shared" si="32"/>
        <v>-1.0136367214484585</v>
      </c>
      <c r="E272" s="151">
        <f t="shared" si="31"/>
        <v>0.8537273717956984</v>
      </c>
      <c r="F272" s="152">
        <f t="shared" si="30"/>
        <v>1.036671179653984</v>
      </c>
      <c r="G272" s="152">
        <f t="shared" si="29"/>
        <v>0.9572515066892472</v>
      </c>
      <c r="J272" s="10">
        <v>1.0021804380947463</v>
      </c>
      <c r="K272" s="10"/>
      <c r="L272"/>
    </row>
    <row r="273" spans="1:12" ht="12.75">
      <c r="A273" s="15">
        <v>38260</v>
      </c>
      <c r="B273" s="43">
        <v>1.66248</v>
      </c>
      <c r="C273" s="151">
        <f t="shared" si="28"/>
        <v>2.7053499480263192</v>
      </c>
      <c r="D273" s="151">
        <f t="shared" si="32"/>
        <v>3.7782718362975167</v>
      </c>
      <c r="E273" s="151">
        <f t="shared" si="31"/>
        <v>2.5902117771360484</v>
      </c>
      <c r="F273" s="152">
        <f t="shared" si="30"/>
        <v>2.589035824693336</v>
      </c>
      <c r="G273" s="152">
        <f t="shared" si="29"/>
        <v>2.4926309041357726</v>
      </c>
      <c r="J273" s="10">
        <v>2.5959831812085055</v>
      </c>
      <c r="K273" s="10"/>
      <c r="L273"/>
    </row>
    <row r="274" spans="1:12" ht="12.75">
      <c r="A274" s="15">
        <v>38291</v>
      </c>
      <c r="B274" s="43">
        <v>1.29614</v>
      </c>
      <c r="C274" s="151">
        <f t="shared" si="28"/>
        <v>0.4047403482116671</v>
      </c>
      <c r="D274" s="151">
        <f t="shared" si="32"/>
        <v>0.13354000436091837</v>
      </c>
      <c r="E274" s="151">
        <f t="shared" si="31"/>
        <v>0.387514826828535</v>
      </c>
      <c r="F274" s="152">
        <f t="shared" si="30"/>
        <v>0.7824231154325987</v>
      </c>
      <c r="G274" s="152">
        <f t="shared" si="29"/>
        <v>0.6172790635211295</v>
      </c>
      <c r="J274" s="10">
        <v>1.144092231706173</v>
      </c>
      <c r="K274" s="10"/>
      <c r="L274"/>
    </row>
    <row r="275" spans="1:12" ht="12.75">
      <c r="A275" s="15">
        <v>38321</v>
      </c>
      <c r="B275" s="43">
        <v>1.56201</v>
      </c>
      <c r="C275" s="151">
        <f t="shared" si="28"/>
        <v>2.20894024354688</v>
      </c>
      <c r="D275" s="151">
        <f t="shared" si="32"/>
        <v>2.2899549761300566</v>
      </c>
      <c r="E275" s="151">
        <f t="shared" si="31"/>
        <v>2.1149289902399113</v>
      </c>
      <c r="F275" s="152">
        <f t="shared" si="30"/>
        <v>2.136786352950878</v>
      </c>
      <c r="G275" s="152">
        <f t="shared" si="29"/>
        <v>2.027746312559516</v>
      </c>
      <c r="J275" s="10">
        <v>2.0694967923887697</v>
      </c>
      <c r="K275" s="10"/>
      <c r="L275"/>
    </row>
    <row r="276" spans="1:12" ht="12.75">
      <c r="A276" s="15">
        <v>38352</v>
      </c>
      <c r="B276" s="43">
        <v>2.00705</v>
      </c>
      <c r="C276" s="151">
        <f t="shared" si="28"/>
        <v>3.0899470383574825</v>
      </c>
      <c r="D276" s="151">
        <f t="shared" si="32"/>
        <v>5.066778219828045</v>
      </c>
      <c r="E276" s="151">
        <f t="shared" si="31"/>
        <v>2.958440631800415</v>
      </c>
      <c r="F276" s="152">
        <f t="shared" si="30"/>
        <v>3.6198219546939363</v>
      </c>
      <c r="G276" s="152">
        <f t="shared" si="29"/>
        <v>2.7734616309078253</v>
      </c>
      <c r="J276" s="10">
        <v>2.7946324636173303</v>
      </c>
      <c r="K276" s="10"/>
      <c r="L276"/>
    </row>
    <row r="277" spans="1:12" ht="12.75">
      <c r="A277" s="15">
        <v>38383</v>
      </c>
      <c r="B277" s="43">
        <v>0.88071</v>
      </c>
      <c r="C277" s="151">
        <f t="shared" si="28"/>
        <v>-1.859965557665752</v>
      </c>
      <c r="D277" s="151">
        <f t="shared" si="32"/>
        <v>-4.5216190034621775</v>
      </c>
      <c r="E277" s="151">
        <f t="shared" si="31"/>
        <v>-1.7808064705447781</v>
      </c>
      <c r="F277" s="152">
        <f t="shared" si="30"/>
        <v>-1.0681253361809935</v>
      </c>
      <c r="G277" s="152">
        <f t="shared" si="29"/>
        <v>-1.2572506162920767</v>
      </c>
      <c r="J277" s="10">
        <v>1.2639220159701203</v>
      </c>
      <c r="K277" s="10"/>
      <c r="L277"/>
    </row>
    <row r="278" spans="1:12" ht="12.75">
      <c r="A278" s="15">
        <v>38411</v>
      </c>
      <c r="B278" s="43">
        <v>1.03725</v>
      </c>
      <c r="C278" s="151">
        <f t="shared" si="28"/>
        <v>1.4181521714553305</v>
      </c>
      <c r="D278" s="151">
        <f t="shared" si="32"/>
        <v>-0.4414656063729574</v>
      </c>
      <c r="E278" s="151">
        <f t="shared" si="31"/>
        <v>1.3577964133455318</v>
      </c>
      <c r="F278" s="152">
        <f t="shared" si="30"/>
        <v>1.2567653166735304</v>
      </c>
      <c r="G278" s="152">
        <f t="shared" si="29"/>
        <v>1.2277511934888192</v>
      </c>
      <c r="J278" s="10">
        <v>2.221839899722289</v>
      </c>
      <c r="K278" s="10"/>
      <c r="L278"/>
    </row>
    <row r="279" spans="1:12" ht="12.75">
      <c r="A279" s="15">
        <v>38442</v>
      </c>
      <c r="B279" s="43">
        <v>0.72906</v>
      </c>
      <c r="C279" s="151">
        <f t="shared" si="28"/>
        <v>-0.020845712411001974</v>
      </c>
      <c r="D279" s="151">
        <f t="shared" si="32"/>
        <v>-0.6763091954038499</v>
      </c>
      <c r="E279" s="151">
        <f t="shared" si="31"/>
        <v>-0.019958530625274622</v>
      </c>
      <c r="F279" s="152">
        <f t="shared" si="30"/>
        <v>0.1958182059967504</v>
      </c>
      <c r="G279" s="152">
        <f t="shared" si="29"/>
        <v>0.3816921951024323</v>
      </c>
      <c r="J279" s="10">
        <v>-1.5119456933791908</v>
      </c>
      <c r="K279" s="10"/>
      <c r="L279"/>
    </row>
    <row r="280" spans="1:12" ht="12.75">
      <c r="A280" s="15">
        <v>38472</v>
      </c>
      <c r="B280" s="43">
        <v>1.30859</v>
      </c>
      <c r="C280" s="151">
        <f t="shared" si="28"/>
        <v>2.718735875964658</v>
      </c>
      <c r="D280" s="151">
        <f t="shared" si="32"/>
        <v>3.92232870910765</v>
      </c>
      <c r="E280" s="151">
        <f t="shared" si="31"/>
        <v>2.6030280075165484</v>
      </c>
      <c r="F280" s="152">
        <f t="shared" si="30"/>
        <v>2.1212622337537432</v>
      </c>
      <c r="G280" s="152">
        <f t="shared" si="29"/>
        <v>1.909424430187863</v>
      </c>
      <c r="J280" s="10">
        <v>-2.468944920719518</v>
      </c>
      <c r="K280" s="10"/>
      <c r="L280"/>
    </row>
    <row r="281" spans="1:12" ht="12.75">
      <c r="A281" s="15">
        <v>38503</v>
      </c>
      <c r="B281" s="43">
        <v>1.44012</v>
      </c>
      <c r="C281" s="151">
        <f t="shared" si="28"/>
        <v>1.7601663946053383</v>
      </c>
      <c r="D281" s="151">
        <f t="shared" si="32"/>
        <v>3.393642798826951</v>
      </c>
      <c r="E281" s="151">
        <f t="shared" si="31"/>
        <v>1.685254703685192</v>
      </c>
      <c r="F281" s="152">
        <f t="shared" si="30"/>
        <v>1.7244707492519997</v>
      </c>
      <c r="G281" s="152">
        <f t="shared" si="29"/>
        <v>1.558106583373236</v>
      </c>
      <c r="J281" s="10">
        <v>3.6002586512588364</v>
      </c>
      <c r="K281" s="10"/>
      <c r="L281"/>
    </row>
    <row r="282" spans="1:12" ht="12.75">
      <c r="A282" s="15">
        <v>38533</v>
      </c>
      <c r="B282" s="43">
        <v>1.67736</v>
      </c>
      <c r="C282" s="151">
        <f t="shared" si="28"/>
        <v>2.2546260735662615</v>
      </c>
      <c r="D282" s="151">
        <f t="shared" si="32"/>
        <v>3.2870655568150067</v>
      </c>
      <c r="E282" s="151">
        <f t="shared" si="31"/>
        <v>2.1586704570511714</v>
      </c>
      <c r="F282" s="152">
        <f t="shared" si="30"/>
        <v>2.1902420174298207</v>
      </c>
      <c r="G282" s="152">
        <f t="shared" si="29"/>
        <v>1.893287779792184</v>
      </c>
      <c r="J282" s="10">
        <v>3.0934020577043198</v>
      </c>
      <c r="K282" s="10"/>
      <c r="L282"/>
    </row>
    <row r="283" spans="1:12" ht="12.75">
      <c r="A283" s="15">
        <v>38564</v>
      </c>
      <c r="B283" s="43">
        <v>1.22821</v>
      </c>
      <c r="C283" s="151">
        <f t="shared" si="28"/>
        <v>0.1353122722041551</v>
      </c>
      <c r="D283" s="151">
        <f t="shared" si="32"/>
        <v>-0.8008839766738013</v>
      </c>
      <c r="E283" s="151">
        <f t="shared" si="31"/>
        <v>0.12955345806923738</v>
      </c>
      <c r="F283" s="152">
        <f t="shared" si="30"/>
        <v>0.5983690361318764</v>
      </c>
      <c r="G283" s="152">
        <f t="shared" si="29"/>
        <v>0.787576559993619</v>
      </c>
      <c r="J283" s="10">
        <v>3.303686864544142</v>
      </c>
      <c r="K283" s="10"/>
      <c r="L283"/>
    </row>
    <row r="284" spans="1:12" ht="12.75">
      <c r="A284" s="15">
        <v>38595</v>
      </c>
      <c r="B284" s="43">
        <v>1.38341</v>
      </c>
      <c r="C284" s="151">
        <f t="shared" si="28"/>
        <v>1.761051606042336</v>
      </c>
      <c r="D284" s="151">
        <f t="shared" si="32"/>
        <v>1.3155121683342106</v>
      </c>
      <c r="E284" s="151">
        <f t="shared" si="31"/>
        <v>1.686102241021735</v>
      </c>
      <c r="F284" s="152">
        <f t="shared" si="30"/>
        <v>1.6010462408824062</v>
      </c>
      <c r="G284" s="152">
        <f t="shared" si="29"/>
        <v>1.5346885740100897</v>
      </c>
      <c r="J284" s="10">
        <v>0.5467435485395633</v>
      </c>
      <c r="K284" s="10"/>
      <c r="L284"/>
    </row>
    <row r="285" spans="1:12" ht="12.75">
      <c r="A285" s="15">
        <v>38625</v>
      </c>
      <c r="B285" s="43">
        <v>1.74272</v>
      </c>
      <c r="C285" s="151">
        <f t="shared" si="28"/>
        <v>2.6170138496589677</v>
      </c>
      <c r="D285" s="151">
        <f t="shared" si="32"/>
        <v>4.088514180928845</v>
      </c>
      <c r="E285" s="151">
        <f t="shared" si="31"/>
        <v>2.505635213388985</v>
      </c>
      <c r="F285" s="152">
        <f t="shared" si="30"/>
        <v>2.5195014773339612</v>
      </c>
      <c r="G285" s="152">
        <f t="shared" si="29"/>
        <v>2.092233394566457</v>
      </c>
      <c r="J285" s="10">
        <v>3.255854182257134</v>
      </c>
      <c r="K285" s="10"/>
      <c r="L285"/>
    </row>
    <row r="286" spans="1:12" ht="12.75">
      <c r="A286" s="15">
        <v>38656</v>
      </c>
      <c r="B286" s="43">
        <v>1.26227</v>
      </c>
      <c r="C286" s="151">
        <f t="shared" si="28"/>
        <v>0.09321130397525573</v>
      </c>
      <c r="D286" s="151">
        <f t="shared" si="32"/>
        <v>-0.6871809325738946</v>
      </c>
      <c r="E286" s="151">
        <f t="shared" si="31"/>
        <v>0.0892442833486497</v>
      </c>
      <c r="F286" s="152">
        <f t="shared" si="30"/>
        <v>0.5885371911601024</v>
      </c>
      <c r="G286" s="152">
        <f t="shared" si="29"/>
        <v>0.7825281752315</v>
      </c>
      <c r="J286" s="10">
        <v>-2.9641742449349695</v>
      </c>
      <c r="K286" s="10"/>
      <c r="L286"/>
    </row>
    <row r="287" spans="1:12" ht="12.75">
      <c r="A287" s="15">
        <v>38686</v>
      </c>
      <c r="B287" s="43">
        <v>1.99111</v>
      </c>
      <c r="C287" s="151">
        <f t="shared" si="28"/>
        <v>3.764565593736444</v>
      </c>
      <c r="D287" s="151">
        <f t="shared" si="32"/>
        <v>5.0837636325209346</v>
      </c>
      <c r="E287" s="151">
        <f t="shared" si="31"/>
        <v>3.6043478012192582</v>
      </c>
      <c r="F287" s="152">
        <f t="shared" si="30"/>
        <v>4.632339353449416</v>
      </c>
      <c r="G287" s="152">
        <f t="shared" si="29"/>
        <v>2.682220003016409</v>
      </c>
      <c r="J287" s="10">
        <v>2.876820297252669</v>
      </c>
      <c r="K287" s="10"/>
      <c r="L287"/>
    </row>
    <row r="288" spans="1:12" ht="12.75">
      <c r="A288" s="15">
        <v>38717</v>
      </c>
      <c r="B288" s="43">
        <v>2.70821</v>
      </c>
      <c r="C288" s="151">
        <f>(B288-$C$4*B287)/(1-$C$4)</f>
        <v>4.45309914750618</v>
      </c>
      <c r="D288" s="151">
        <f t="shared" si="32"/>
        <v>8.267659834109834</v>
      </c>
      <c r="E288" s="151">
        <f t="shared" si="31"/>
        <v>4.263577754530406</v>
      </c>
      <c r="F288" s="152">
        <f t="shared" si="30"/>
        <v>5.306894991710904</v>
      </c>
      <c r="G288" s="152">
        <f t="shared" si="29"/>
        <v>3.311642102048905</v>
      </c>
      <c r="J288" s="10">
        <v>3.866036737746481</v>
      </c>
      <c r="K288" s="10"/>
      <c r="L288"/>
    </row>
    <row r="289" spans="2:7" ht="12.75">
      <c r="B289" s="76"/>
      <c r="C289" s="43"/>
      <c r="D289" s="43"/>
      <c r="E289" s="38"/>
      <c r="F289" s="38"/>
      <c r="G289" s="47"/>
    </row>
    <row r="290" ht="12.75">
      <c r="B290" s="76"/>
    </row>
    <row r="291" spans="2:7" ht="12.75">
      <c r="B291" s="76"/>
      <c r="C291" s="43"/>
      <c r="D291" s="43"/>
      <c r="E291" s="38"/>
      <c r="F291" s="38"/>
      <c r="G291" s="38"/>
    </row>
    <row r="292" spans="1:7" ht="16.5" thickBot="1">
      <c r="A292" s="117" t="s">
        <v>107</v>
      </c>
      <c r="B292" s="89"/>
      <c r="C292" s="89"/>
      <c r="D292" s="89"/>
      <c r="E292" s="54"/>
      <c r="F292" s="54"/>
      <c r="G292" s="54"/>
    </row>
    <row r="293" spans="2:7" ht="12.75">
      <c r="B293" s="43"/>
      <c r="C293" s="43"/>
      <c r="D293" s="43"/>
      <c r="E293" s="38"/>
      <c r="F293" s="38"/>
      <c r="G293" s="38"/>
    </row>
    <row r="294" spans="2:7" ht="25.5">
      <c r="B294" s="57" t="s">
        <v>99</v>
      </c>
      <c r="C294" s="36" t="s">
        <v>58</v>
      </c>
      <c r="D294" s="36" t="str">
        <f>+D3</f>
        <v>Lags 1-n Method</v>
      </c>
      <c r="E294" s="36" t="s">
        <v>4</v>
      </c>
      <c r="F294" s="36" t="s">
        <v>5</v>
      </c>
      <c r="G294" s="36" t="s">
        <v>62</v>
      </c>
    </row>
    <row r="295" spans="2:7" ht="12.75">
      <c r="B295" s="43"/>
      <c r="C295" s="43"/>
      <c r="D295" s="43"/>
      <c r="E295" s="43"/>
      <c r="F295" s="43"/>
      <c r="G295" s="38"/>
    </row>
    <row r="296" spans="1:7" ht="12.75">
      <c r="A296" s="15">
        <v>31777</v>
      </c>
      <c r="B296" s="43">
        <v>100</v>
      </c>
      <c r="C296" s="43">
        <v>100</v>
      </c>
      <c r="D296" s="43">
        <v>100</v>
      </c>
      <c r="E296" s="43">
        <v>100</v>
      </c>
      <c r="F296" s="43">
        <v>100</v>
      </c>
      <c r="G296" s="43">
        <v>100</v>
      </c>
    </row>
    <row r="297" spans="1:7" ht="12.75">
      <c r="A297" s="15">
        <v>31808</v>
      </c>
      <c r="B297" s="43">
        <f aca="true" t="shared" si="33" ref="B297:B360">+B296*(1+B61/100)</f>
        <v>100.6597</v>
      </c>
      <c r="C297" s="43">
        <f aca="true" t="shared" si="34" ref="C297:C360">+C296*(1+C61/100)</f>
        <v>100.6597</v>
      </c>
      <c r="D297" s="43">
        <f aca="true" t="shared" si="35" ref="D297:D360">+D296*(1+D61/100)</f>
        <v>100.6597</v>
      </c>
      <c r="E297" s="43">
        <f aca="true" t="shared" si="36" ref="E297:E360">+E296*(1+E61/100)</f>
        <v>100.6597</v>
      </c>
      <c r="F297" s="43">
        <f aca="true" t="shared" si="37" ref="F297:F360">+F296*(1+F61/100)</f>
        <v>100.6597</v>
      </c>
      <c r="G297" s="43">
        <f aca="true" t="shared" si="38" ref="G297:G360">+G296*(1+G61/100)</f>
        <v>100</v>
      </c>
    </row>
    <row r="298" spans="1:7" ht="12.75">
      <c r="A298" s="15">
        <v>31836</v>
      </c>
      <c r="B298" s="43">
        <f t="shared" si="33"/>
        <v>101.60244855229</v>
      </c>
      <c r="C298" s="43">
        <f t="shared" si="34"/>
        <v>102.28058900435002</v>
      </c>
      <c r="D298" s="43">
        <f t="shared" si="35"/>
        <v>102.28058900435002</v>
      </c>
      <c r="E298" s="43">
        <f t="shared" si="36"/>
        <v>102.21160488075701</v>
      </c>
      <c r="F298" s="43">
        <f t="shared" si="37"/>
        <v>102.08465961597166</v>
      </c>
      <c r="G298" s="43">
        <f t="shared" si="38"/>
        <v>100</v>
      </c>
    </row>
    <row r="299" spans="1:7" ht="12.75">
      <c r="A299" s="15">
        <v>31867</v>
      </c>
      <c r="B299" s="43">
        <f t="shared" si="33"/>
        <v>102.4737809908296</v>
      </c>
      <c r="C299" s="43">
        <f t="shared" si="34"/>
        <v>102.96117560257514</v>
      </c>
      <c r="D299" s="43">
        <f t="shared" si="35"/>
        <v>102.96117560257514</v>
      </c>
      <c r="E299" s="43">
        <f t="shared" si="36"/>
        <v>102.86278660430342</v>
      </c>
      <c r="F299" s="43">
        <f t="shared" si="37"/>
        <v>102.82062454303687</v>
      </c>
      <c r="G299" s="43">
        <f t="shared" si="38"/>
        <v>100</v>
      </c>
    </row>
    <row r="300" spans="1:7" ht="12.75">
      <c r="A300" s="15">
        <v>31897</v>
      </c>
      <c r="B300" s="43">
        <f t="shared" si="33"/>
        <v>103.40178355148254</v>
      </c>
      <c r="C300" s="43">
        <f t="shared" si="34"/>
        <v>104.01387198064496</v>
      </c>
      <c r="D300" s="43">
        <f t="shared" si="35"/>
        <v>104.00127234427251</v>
      </c>
      <c r="E300" s="43">
        <f t="shared" si="36"/>
        <v>103.86971768026096</v>
      </c>
      <c r="F300" s="43">
        <f t="shared" si="37"/>
        <v>103.83717986128325</v>
      </c>
      <c r="G300" s="43">
        <f t="shared" si="38"/>
        <v>100</v>
      </c>
    </row>
    <row r="301" spans="1:7" ht="12.75">
      <c r="A301" s="15">
        <v>31928</v>
      </c>
      <c r="B301" s="43">
        <f t="shared" si="33"/>
        <v>104.4203945212482</v>
      </c>
      <c r="C301" s="43">
        <f t="shared" si="34"/>
        <v>105.23972122053682</v>
      </c>
      <c r="D301" s="43">
        <f t="shared" si="35"/>
        <v>105.59535967109402</v>
      </c>
      <c r="E301" s="43">
        <f t="shared" si="36"/>
        <v>105.04176884986902</v>
      </c>
      <c r="F301" s="43">
        <f t="shared" si="37"/>
        <v>105.00291196409042</v>
      </c>
      <c r="G301" s="43">
        <f t="shared" si="38"/>
        <v>100</v>
      </c>
    </row>
    <row r="302" spans="1:7" ht="12.75">
      <c r="A302" s="15">
        <v>31958</v>
      </c>
      <c r="B302" s="43">
        <f t="shared" si="33"/>
        <v>105.30453244369906</v>
      </c>
      <c r="C302" s="43">
        <f t="shared" si="34"/>
        <v>105.77641376027881</v>
      </c>
      <c r="D302" s="43">
        <f t="shared" si="35"/>
        <v>105.84342993160114</v>
      </c>
      <c r="E302" s="43">
        <f t="shared" si="36"/>
        <v>105.55465352042275</v>
      </c>
      <c r="F302" s="43">
        <f t="shared" si="37"/>
        <v>105.64055524902767</v>
      </c>
      <c r="G302" s="43">
        <f t="shared" si="38"/>
        <v>100</v>
      </c>
    </row>
    <row r="303" spans="1:7" ht="12.75">
      <c r="A303" s="15">
        <v>31989</v>
      </c>
      <c r="B303" s="43">
        <f t="shared" si="33"/>
        <v>107.37189208554025</v>
      </c>
      <c r="C303" s="43">
        <f t="shared" si="34"/>
        <v>110.72672520830808</v>
      </c>
      <c r="D303" s="43">
        <f t="shared" si="35"/>
        <v>114.26066564438757</v>
      </c>
      <c r="E303" s="43">
        <f t="shared" si="36"/>
        <v>110.28434586822115</v>
      </c>
      <c r="F303" s="43">
        <f t="shared" si="37"/>
        <v>111.98883348308205</v>
      </c>
      <c r="G303" s="43">
        <f t="shared" si="38"/>
        <v>100</v>
      </c>
    </row>
    <row r="304" spans="1:7" ht="12.75">
      <c r="A304" s="15">
        <v>32020</v>
      </c>
      <c r="B304" s="43">
        <f t="shared" si="33"/>
        <v>108.8385491826719</v>
      </c>
      <c r="C304" s="43">
        <f t="shared" si="34"/>
        <v>110.63003028722159</v>
      </c>
      <c r="D304" s="43">
        <f t="shared" si="35"/>
        <v>114.65544850001015</v>
      </c>
      <c r="E304" s="43">
        <f t="shared" si="36"/>
        <v>110.19213610600481</v>
      </c>
      <c r="F304" s="43">
        <f t="shared" si="37"/>
        <v>112.58061055413307</v>
      </c>
      <c r="G304" s="43">
        <f t="shared" si="38"/>
        <v>100</v>
      </c>
    </row>
    <row r="305" spans="1:7" ht="12.75">
      <c r="A305" s="15">
        <v>32050</v>
      </c>
      <c r="B305" s="43">
        <f t="shared" si="33"/>
        <v>110.65122256774454</v>
      </c>
      <c r="C305" s="43">
        <f t="shared" si="34"/>
        <v>113.27879535755079</v>
      </c>
      <c r="D305" s="43">
        <f t="shared" si="35"/>
        <v>117.06200778215315</v>
      </c>
      <c r="E305" s="43">
        <f t="shared" si="36"/>
        <v>112.71813312855849</v>
      </c>
      <c r="F305" s="43">
        <f t="shared" si="37"/>
        <v>115.18456816721321</v>
      </c>
      <c r="G305" s="43">
        <f t="shared" si="38"/>
        <v>100</v>
      </c>
    </row>
    <row r="306" spans="1:7" ht="12.75">
      <c r="A306" s="15">
        <v>32081</v>
      </c>
      <c r="B306" s="43">
        <f t="shared" si="33"/>
        <v>113.27842561029274</v>
      </c>
      <c r="C306" s="43">
        <f t="shared" si="34"/>
        <v>117.92220695457422</v>
      </c>
      <c r="D306" s="43">
        <f t="shared" si="35"/>
        <v>125.24240343410605</v>
      </c>
      <c r="E306" s="43">
        <f t="shared" si="36"/>
        <v>117.14191973957394</v>
      </c>
      <c r="F306" s="43">
        <f t="shared" si="37"/>
        <v>120.8782124814833</v>
      </c>
      <c r="G306" s="43">
        <f t="shared" si="38"/>
        <v>100</v>
      </c>
    </row>
    <row r="307" spans="1:7" ht="12.75">
      <c r="A307" s="15">
        <v>32111</v>
      </c>
      <c r="B307" s="43">
        <f t="shared" si="33"/>
        <v>114.98484048584362</v>
      </c>
      <c r="C307" s="43">
        <f t="shared" si="34"/>
        <v>117.20820793858103</v>
      </c>
      <c r="D307" s="43">
        <f t="shared" si="35"/>
        <v>122.87521777378387</v>
      </c>
      <c r="E307" s="43">
        <f t="shared" si="36"/>
        <v>116.46283155451141</v>
      </c>
      <c r="F307" s="43">
        <f t="shared" si="37"/>
        <v>120.43103546240506</v>
      </c>
      <c r="G307" s="43">
        <f t="shared" si="38"/>
        <v>100</v>
      </c>
    </row>
    <row r="308" spans="1:7" ht="12.75">
      <c r="A308" s="15">
        <v>32142</v>
      </c>
      <c r="B308" s="43">
        <f t="shared" si="33"/>
        <v>117.04717408934556</v>
      </c>
      <c r="C308" s="43">
        <f t="shared" si="34"/>
        <v>120.1294501862892</v>
      </c>
      <c r="D308" s="43">
        <f t="shared" si="35"/>
        <v>124.82993735918207</v>
      </c>
      <c r="E308" s="43">
        <f t="shared" si="36"/>
        <v>119.241960610294</v>
      </c>
      <c r="F308" s="43">
        <f t="shared" si="37"/>
        <v>123.84438353699579</v>
      </c>
      <c r="G308" s="43">
        <f t="shared" si="38"/>
        <v>100</v>
      </c>
    </row>
    <row r="309" spans="1:7" ht="12.75">
      <c r="A309" s="15">
        <v>32173</v>
      </c>
      <c r="B309" s="43">
        <f t="shared" si="33"/>
        <v>118.5951697855468</v>
      </c>
      <c r="C309" s="43">
        <f t="shared" si="34"/>
        <v>120.34136165038586</v>
      </c>
      <c r="D309" s="43">
        <f t="shared" si="35"/>
        <v>123.92491076722347</v>
      </c>
      <c r="E309" s="43">
        <f t="shared" si="36"/>
        <v>119.44335431627395</v>
      </c>
      <c r="F309" s="43">
        <f t="shared" si="37"/>
        <v>124.66425417860178</v>
      </c>
      <c r="G309" s="43">
        <f t="shared" si="38"/>
        <v>100</v>
      </c>
    </row>
    <row r="310" spans="1:7" ht="12.75">
      <c r="A310" s="15">
        <v>32202</v>
      </c>
      <c r="B310" s="43">
        <f t="shared" si="33"/>
        <v>121.38629524693268</v>
      </c>
      <c r="C310" s="43">
        <f t="shared" si="34"/>
        <v>126.19242736742187</v>
      </c>
      <c r="D310" s="43">
        <f t="shared" si="35"/>
        <v>132.80402842296203</v>
      </c>
      <c r="E310" s="43">
        <f t="shared" si="36"/>
        <v>125.00359855510916</v>
      </c>
      <c r="F310" s="43">
        <f t="shared" si="37"/>
        <v>132.25572135034685</v>
      </c>
      <c r="G310" s="43">
        <f t="shared" si="38"/>
        <v>100</v>
      </c>
    </row>
    <row r="311" spans="1:7" ht="12.75">
      <c r="A311" s="15">
        <v>32233</v>
      </c>
      <c r="B311" s="43">
        <f t="shared" si="33"/>
        <v>123.29182944834855</v>
      </c>
      <c r="C311" s="43">
        <f t="shared" si="34"/>
        <v>125.7670510559006</v>
      </c>
      <c r="D311" s="43">
        <f t="shared" si="35"/>
        <v>131.9032795293286</v>
      </c>
      <c r="E311" s="43">
        <f t="shared" si="36"/>
        <v>124.60016283753681</v>
      </c>
      <c r="F311" s="43">
        <f t="shared" si="37"/>
        <v>132.09118966368877</v>
      </c>
      <c r="G311" s="43">
        <f t="shared" si="38"/>
        <v>100</v>
      </c>
    </row>
    <row r="312" spans="1:7" ht="12.75">
      <c r="A312" s="15">
        <v>32263</v>
      </c>
      <c r="B312" s="43">
        <f t="shared" si="33"/>
        <v>126.51669985613134</v>
      </c>
      <c r="C312" s="43">
        <f t="shared" si="34"/>
        <v>132.25715153394518</v>
      </c>
      <c r="D312" s="43">
        <f t="shared" si="35"/>
        <v>140.94645708715478</v>
      </c>
      <c r="E312" s="43">
        <f t="shared" si="36"/>
        <v>130.7563948002037</v>
      </c>
      <c r="F312" s="43">
        <f t="shared" si="37"/>
        <v>140.55242734599085</v>
      </c>
      <c r="G312" s="43">
        <f t="shared" si="38"/>
        <v>100</v>
      </c>
    </row>
    <row r="313" spans="1:7" ht="12.75">
      <c r="A313" s="15">
        <v>32294</v>
      </c>
      <c r="B313" s="43">
        <f t="shared" si="33"/>
        <v>129.85404592662627</v>
      </c>
      <c r="C313" s="43">
        <f t="shared" si="34"/>
        <v>135.81746289649934</v>
      </c>
      <c r="D313" s="43">
        <f t="shared" si="35"/>
        <v>147.92802692904743</v>
      </c>
      <c r="E313" s="43">
        <f t="shared" si="36"/>
        <v>134.12650091691137</v>
      </c>
      <c r="F313" s="43">
        <f t="shared" si="37"/>
        <v>144.37324511175996</v>
      </c>
      <c r="G313" s="43">
        <f t="shared" si="38"/>
        <v>100</v>
      </c>
    </row>
    <row r="314" spans="1:7" ht="12.75">
      <c r="A314" s="15">
        <v>32324</v>
      </c>
      <c r="B314" s="43">
        <f t="shared" si="33"/>
        <v>133.60015335594514</v>
      </c>
      <c r="C314" s="43">
        <f t="shared" si="34"/>
        <v>140.55185638435427</v>
      </c>
      <c r="D314" s="43">
        <f t="shared" si="35"/>
        <v>154.31921784195856</v>
      </c>
      <c r="E314" s="43">
        <f t="shared" si="36"/>
        <v>138.60296551979783</v>
      </c>
      <c r="F314" s="43">
        <f t="shared" si="37"/>
        <v>149.83044166092745</v>
      </c>
      <c r="G314" s="43">
        <f t="shared" si="38"/>
        <v>100</v>
      </c>
    </row>
    <row r="315" spans="1:7" ht="12.75">
      <c r="A315" s="15">
        <v>32355</v>
      </c>
      <c r="B315" s="43">
        <f t="shared" si="33"/>
        <v>137.1363222950163</v>
      </c>
      <c r="C315" s="43">
        <f t="shared" si="34"/>
        <v>143.45796511073343</v>
      </c>
      <c r="D315" s="43">
        <f t="shared" si="35"/>
        <v>157.13628454102016</v>
      </c>
      <c r="E315" s="43">
        <f t="shared" si="36"/>
        <v>141.346810793859</v>
      </c>
      <c r="F315" s="43">
        <f t="shared" si="37"/>
        <v>152.50377278213253</v>
      </c>
      <c r="G315" s="43">
        <f t="shared" si="38"/>
        <v>100</v>
      </c>
    </row>
    <row r="316" spans="1:7" ht="12.75">
      <c r="A316" s="15">
        <v>32386</v>
      </c>
      <c r="B316" s="43">
        <f t="shared" si="33"/>
        <v>140.33144775453565</v>
      </c>
      <c r="C316" s="43">
        <f t="shared" si="34"/>
        <v>145.69403477554275</v>
      </c>
      <c r="D316" s="43">
        <f t="shared" si="35"/>
        <v>157.2131188577288</v>
      </c>
      <c r="E316" s="43">
        <f t="shared" si="36"/>
        <v>143.45620865068565</v>
      </c>
      <c r="F316" s="43">
        <f t="shared" si="37"/>
        <v>154.30535656356247</v>
      </c>
      <c r="G316" s="43">
        <f t="shared" si="38"/>
        <v>100</v>
      </c>
    </row>
    <row r="317" spans="1:7" ht="12.75">
      <c r="A317" s="15">
        <v>32416</v>
      </c>
      <c r="B317" s="43">
        <f t="shared" si="33"/>
        <v>143.66249532988505</v>
      </c>
      <c r="C317" s="43">
        <f t="shared" si="34"/>
        <v>149.30768541044708</v>
      </c>
      <c r="D317" s="43">
        <f t="shared" si="35"/>
        <v>160.28862089701371</v>
      </c>
      <c r="E317" s="43">
        <f t="shared" si="36"/>
        <v>146.862921778577</v>
      </c>
      <c r="F317" s="43">
        <f t="shared" si="37"/>
        <v>158.21308142525217</v>
      </c>
      <c r="G317" s="43">
        <f t="shared" si="38"/>
        <v>100</v>
      </c>
    </row>
    <row r="318" spans="1:7" ht="12.75">
      <c r="A318" s="15">
        <v>32447</v>
      </c>
      <c r="B318" s="43">
        <f t="shared" si="33"/>
        <v>146.7011725998551</v>
      </c>
      <c r="C318" s="43">
        <f t="shared" si="34"/>
        <v>151.52644420462514</v>
      </c>
      <c r="D318" s="43">
        <f t="shared" si="35"/>
        <v>161.4953423850946</v>
      </c>
      <c r="E318" s="43">
        <f t="shared" si="36"/>
        <v>148.95246767928177</v>
      </c>
      <c r="F318" s="43">
        <f t="shared" si="37"/>
        <v>160.07714097959436</v>
      </c>
      <c r="G318" s="43">
        <f t="shared" si="38"/>
        <v>100</v>
      </c>
    </row>
    <row r="319" spans="1:7" ht="12.75">
      <c r="A319" s="15">
        <v>32477</v>
      </c>
      <c r="B319" s="43">
        <f t="shared" si="33"/>
        <v>149.940510532267</v>
      </c>
      <c r="C319" s="43">
        <f t="shared" si="34"/>
        <v>155.21511300853342</v>
      </c>
      <c r="D319" s="43">
        <f t="shared" si="35"/>
        <v>165.03120411161166</v>
      </c>
      <c r="E319" s="43">
        <f t="shared" si="36"/>
        <v>152.42415622203853</v>
      </c>
      <c r="F319" s="43">
        <f t="shared" si="37"/>
        <v>164.15115577365836</v>
      </c>
      <c r="G319" s="43">
        <f t="shared" si="38"/>
        <v>100</v>
      </c>
    </row>
    <row r="320" spans="1:7" ht="12.75">
      <c r="A320" s="15">
        <v>32508</v>
      </c>
      <c r="B320" s="43">
        <f t="shared" si="33"/>
        <v>153.5959252325842</v>
      </c>
      <c r="C320" s="43">
        <f t="shared" si="34"/>
        <v>159.8669849192239</v>
      </c>
      <c r="D320" s="43">
        <f t="shared" si="35"/>
        <v>171.5086038983614</v>
      </c>
      <c r="E320" s="43">
        <f t="shared" si="36"/>
        <v>156.79796070025466</v>
      </c>
      <c r="F320" s="43">
        <f t="shared" si="37"/>
        <v>169.51995174727517</v>
      </c>
      <c r="G320" s="43">
        <f t="shared" si="38"/>
        <v>100</v>
      </c>
    </row>
    <row r="321" spans="1:7" ht="12.75">
      <c r="A321" s="15">
        <v>32539</v>
      </c>
      <c r="B321" s="43">
        <f t="shared" si="33"/>
        <v>155.9491069647025</v>
      </c>
      <c r="C321" s="43">
        <f t="shared" si="34"/>
        <v>158.79250843947756</v>
      </c>
      <c r="D321" s="43">
        <f t="shared" si="35"/>
        <v>166.2242791593317</v>
      </c>
      <c r="E321" s="43">
        <f t="shared" si="36"/>
        <v>155.78896256918054</v>
      </c>
      <c r="F321" s="43">
        <f t="shared" si="37"/>
        <v>168.79733928984558</v>
      </c>
      <c r="G321" s="43">
        <f t="shared" si="38"/>
        <v>100</v>
      </c>
    </row>
    <row r="322" spans="1:7" ht="12.75">
      <c r="A322" s="15">
        <v>32567</v>
      </c>
      <c r="B322" s="43">
        <f t="shared" si="33"/>
        <v>158.47479632146005</v>
      </c>
      <c r="C322" s="43">
        <f t="shared" si="34"/>
        <v>161.7023336061397</v>
      </c>
      <c r="D322" s="43">
        <f t="shared" si="35"/>
        <v>166.58062777647348</v>
      </c>
      <c r="E322" s="43">
        <f t="shared" si="36"/>
        <v>158.5222505682958</v>
      </c>
      <c r="F322" s="43">
        <f t="shared" si="37"/>
        <v>171.85041663064806</v>
      </c>
      <c r="G322" s="43">
        <f t="shared" si="38"/>
        <v>100</v>
      </c>
    </row>
    <row r="323" spans="1:7" ht="12.75">
      <c r="A323" s="15">
        <v>32598</v>
      </c>
      <c r="B323" s="43">
        <f t="shared" si="33"/>
        <v>161.13241865577092</v>
      </c>
      <c r="C323" s="43">
        <f t="shared" si="34"/>
        <v>164.64008715203437</v>
      </c>
      <c r="D323" s="43">
        <f t="shared" si="35"/>
        <v>170.21758985231327</v>
      </c>
      <c r="E323" s="43">
        <f t="shared" si="36"/>
        <v>161.27965915698172</v>
      </c>
      <c r="F323" s="43">
        <f t="shared" si="37"/>
        <v>174.94574819731193</v>
      </c>
      <c r="G323" s="43">
        <f t="shared" si="38"/>
        <v>100</v>
      </c>
    </row>
    <row r="324" spans="1:7" ht="12.75">
      <c r="A324" s="15">
        <v>32628</v>
      </c>
      <c r="B324" s="43">
        <f t="shared" si="33"/>
        <v>163.865079456996</v>
      </c>
      <c r="C324" s="43">
        <f t="shared" si="34"/>
        <v>167.50799054003807</v>
      </c>
      <c r="D324" s="43">
        <f t="shared" si="35"/>
        <v>173.49013323902085</v>
      </c>
      <c r="E324" s="43">
        <f t="shared" si="36"/>
        <v>163.96946138823353</v>
      </c>
      <c r="F324" s="43">
        <f t="shared" si="37"/>
        <v>177.98419013690128</v>
      </c>
      <c r="G324" s="43">
        <f t="shared" si="38"/>
        <v>100</v>
      </c>
    </row>
    <row r="325" spans="1:7" ht="12.75">
      <c r="A325" s="15">
        <v>32659</v>
      </c>
      <c r="B325" s="43">
        <f t="shared" si="33"/>
        <v>166.83670712691685</v>
      </c>
      <c r="C325" s="43">
        <f t="shared" si="34"/>
        <v>171.0248031309551</v>
      </c>
      <c r="D325" s="43">
        <f t="shared" si="35"/>
        <v>177.8519507046319</v>
      </c>
      <c r="E325" s="43">
        <f t="shared" si="36"/>
        <v>167.2654711538154</v>
      </c>
      <c r="F325" s="43">
        <f t="shared" si="37"/>
        <v>181.97005209851005</v>
      </c>
      <c r="G325" s="43">
        <f t="shared" si="38"/>
        <v>100</v>
      </c>
    </row>
    <row r="326" spans="1:7" ht="12.75">
      <c r="A326" s="15">
        <v>32689</v>
      </c>
      <c r="B326" s="43">
        <f t="shared" si="33"/>
        <v>169.68714563552163</v>
      </c>
      <c r="C326" s="43">
        <f t="shared" si="34"/>
        <v>173.5100909830716</v>
      </c>
      <c r="D326" s="43">
        <f t="shared" si="35"/>
        <v>180.27882985659915</v>
      </c>
      <c r="E326" s="43">
        <f t="shared" si="36"/>
        <v>169.59268192814497</v>
      </c>
      <c r="F326" s="43">
        <f t="shared" si="37"/>
        <v>184.66621751082602</v>
      </c>
      <c r="G326" s="43">
        <f t="shared" si="38"/>
        <v>100</v>
      </c>
    </row>
    <row r="327" spans="1:7" ht="12.75">
      <c r="A327" s="15">
        <v>32720</v>
      </c>
      <c r="B327" s="43">
        <f t="shared" si="33"/>
        <v>172.2857515524986</v>
      </c>
      <c r="C327" s="43">
        <f t="shared" si="34"/>
        <v>175.41949269747417</v>
      </c>
      <c r="D327" s="43">
        <f t="shared" si="35"/>
        <v>180.84772314277177</v>
      </c>
      <c r="E327" s="43">
        <f t="shared" si="36"/>
        <v>171.37954593830125</v>
      </c>
      <c r="F327" s="43">
        <f t="shared" si="37"/>
        <v>186.78714820557784</v>
      </c>
      <c r="G327" s="43">
        <f t="shared" si="38"/>
        <v>100</v>
      </c>
    </row>
    <row r="328" spans="1:7" ht="12.75">
      <c r="A328" s="15">
        <v>32751</v>
      </c>
      <c r="B328" s="43">
        <f t="shared" si="33"/>
        <v>174.8358046469526</v>
      </c>
      <c r="C328" s="43">
        <f t="shared" si="34"/>
        <v>177.79704525005104</v>
      </c>
      <c r="D328" s="43">
        <f t="shared" si="35"/>
        <v>182.33209163495178</v>
      </c>
      <c r="E328" s="43">
        <f t="shared" si="36"/>
        <v>173.60348603569216</v>
      </c>
      <c r="F328" s="43">
        <f t="shared" si="37"/>
        <v>189.3447673028848</v>
      </c>
      <c r="G328" s="43">
        <f t="shared" si="38"/>
        <v>100</v>
      </c>
    </row>
    <row r="329" spans="1:7" ht="12.75">
      <c r="A329" s="15">
        <v>32781</v>
      </c>
      <c r="B329" s="43">
        <f t="shared" si="33"/>
        <v>176.97833001499868</v>
      </c>
      <c r="C329" s="43">
        <f t="shared" si="34"/>
        <v>178.87404713731186</v>
      </c>
      <c r="D329" s="43">
        <f t="shared" si="35"/>
        <v>181.75910277498235</v>
      </c>
      <c r="E329" s="43">
        <f t="shared" si="36"/>
        <v>174.61033004329516</v>
      </c>
      <c r="F329" s="43">
        <f t="shared" si="37"/>
        <v>190.98887331997796</v>
      </c>
      <c r="G329" s="43">
        <f t="shared" si="38"/>
        <v>100</v>
      </c>
    </row>
    <row r="330" spans="1:7" ht="12.75">
      <c r="A330" s="15">
        <v>32812</v>
      </c>
      <c r="B330" s="43">
        <f t="shared" si="33"/>
        <v>178.4030055716194</v>
      </c>
      <c r="C330" s="43">
        <f t="shared" si="34"/>
        <v>178.48398861290167</v>
      </c>
      <c r="D330" s="43">
        <f t="shared" si="35"/>
        <v>177.95488695539373</v>
      </c>
      <c r="E330" s="43">
        <f t="shared" si="36"/>
        <v>174.24577408872705</v>
      </c>
      <c r="F330" s="43">
        <f t="shared" si="37"/>
        <v>191.136931296242</v>
      </c>
      <c r="G330" s="43">
        <f t="shared" si="38"/>
        <v>100</v>
      </c>
    </row>
    <row r="331" spans="1:7" ht="12.75">
      <c r="A331" s="15">
        <v>32842</v>
      </c>
      <c r="B331" s="43">
        <f t="shared" si="33"/>
        <v>178.86851253405743</v>
      </c>
      <c r="C331" s="43">
        <f t="shared" si="34"/>
        <v>176.58682419174292</v>
      </c>
      <c r="D331" s="43">
        <f t="shared" si="35"/>
        <v>171.40703934616937</v>
      </c>
      <c r="E331" s="43">
        <f t="shared" si="36"/>
        <v>172.47248400383984</v>
      </c>
      <c r="F331" s="43">
        <f t="shared" si="37"/>
        <v>188.77005770003353</v>
      </c>
      <c r="G331" s="43">
        <f t="shared" si="38"/>
        <v>100</v>
      </c>
    </row>
    <row r="332" spans="1:7" ht="12.75">
      <c r="A332" s="15">
        <v>32873</v>
      </c>
      <c r="B332" s="43">
        <f t="shared" si="33"/>
        <v>179.26216635644238</v>
      </c>
      <c r="C332" s="43">
        <f t="shared" si="34"/>
        <v>176.79993167881477</v>
      </c>
      <c r="D332" s="43">
        <f t="shared" si="35"/>
        <v>169.4372375590806</v>
      </c>
      <c r="E332" s="43">
        <f t="shared" si="36"/>
        <v>172.67176783005633</v>
      </c>
      <c r="F332" s="43">
        <f t="shared" si="37"/>
        <v>188.97301091401792</v>
      </c>
      <c r="G332" s="43">
        <f t="shared" si="38"/>
        <v>100</v>
      </c>
    </row>
    <row r="333" spans="1:7" ht="12.75">
      <c r="A333" s="15">
        <v>32904</v>
      </c>
      <c r="B333" s="43">
        <f t="shared" si="33"/>
        <v>179.66826686810626</v>
      </c>
      <c r="C333" s="43">
        <f t="shared" si="34"/>
        <v>177.22824515161417</v>
      </c>
      <c r="D333" s="43">
        <f t="shared" si="35"/>
        <v>169.73766922363995</v>
      </c>
      <c r="E333" s="43">
        <f t="shared" si="36"/>
        <v>173.0722773107007</v>
      </c>
      <c r="F333" s="43">
        <f t="shared" si="37"/>
        <v>189.4347498759112</v>
      </c>
      <c r="G333" s="43">
        <f t="shared" si="38"/>
        <v>100.24480154037205</v>
      </c>
    </row>
    <row r="334" spans="1:7" ht="12.75">
      <c r="A334" s="15">
        <v>32932</v>
      </c>
      <c r="B334" s="43">
        <f t="shared" si="33"/>
        <v>179.35528474722202</v>
      </c>
      <c r="C334" s="43">
        <f t="shared" si="34"/>
        <v>175.1913543387786</v>
      </c>
      <c r="D334" s="43">
        <f t="shared" si="35"/>
        <v>165.63952048003944</v>
      </c>
      <c r="E334" s="43">
        <f t="shared" si="36"/>
        <v>171.16780727876707</v>
      </c>
      <c r="F334" s="43">
        <f t="shared" si="37"/>
        <v>185.29814414708028</v>
      </c>
      <c r="G334" s="43">
        <f t="shared" si="38"/>
        <v>98.72777278721432</v>
      </c>
    </row>
    <row r="335" spans="1:7" ht="12.75">
      <c r="A335" s="15">
        <v>32963</v>
      </c>
      <c r="B335" s="43">
        <f t="shared" si="33"/>
        <v>179.10228618255758</v>
      </c>
      <c r="C335" s="43">
        <f t="shared" si="34"/>
        <v>175.0855005033939</v>
      </c>
      <c r="D335" s="43">
        <f t="shared" si="35"/>
        <v>164.32430814927352</v>
      </c>
      <c r="E335" s="43">
        <f t="shared" si="36"/>
        <v>171.0687861578014</v>
      </c>
      <c r="F335" s="43">
        <f t="shared" si="37"/>
        <v>185.34468383430976</v>
      </c>
      <c r="G335" s="43">
        <f t="shared" si="38"/>
        <v>98.71362658032025</v>
      </c>
    </row>
    <row r="336" spans="1:7" ht="12.75">
      <c r="A336" s="15">
        <v>32993</v>
      </c>
      <c r="B336" s="43">
        <f t="shared" si="33"/>
        <v>178.9738877535933</v>
      </c>
      <c r="C336" s="43">
        <f t="shared" si="34"/>
        <v>175.25551743897776</v>
      </c>
      <c r="D336" s="43">
        <f t="shared" si="35"/>
        <v>164.96164392391492</v>
      </c>
      <c r="E336" s="43">
        <f t="shared" si="36"/>
        <v>171.22783283445114</v>
      </c>
      <c r="F336" s="43">
        <f t="shared" si="37"/>
        <v>185.85652543850912</v>
      </c>
      <c r="G336" s="43">
        <f t="shared" si="38"/>
        <v>98.94853192503005</v>
      </c>
    </row>
    <row r="337" spans="1:7" ht="12.75">
      <c r="A337" s="15">
        <v>33024</v>
      </c>
      <c r="B337" s="43">
        <f t="shared" si="33"/>
        <v>175.81752216655968</v>
      </c>
      <c r="C337" s="43">
        <f t="shared" si="34"/>
        <v>164.94975900390182</v>
      </c>
      <c r="D337" s="43">
        <f t="shared" si="35"/>
        <v>146.59577881248444</v>
      </c>
      <c r="E337" s="43">
        <f t="shared" si="36"/>
        <v>161.5874464225332</v>
      </c>
      <c r="F337" s="43">
        <f t="shared" si="37"/>
        <v>166.8110695433717</v>
      </c>
      <c r="G337" s="43">
        <f t="shared" si="38"/>
        <v>88.76583368701405</v>
      </c>
    </row>
    <row r="338" spans="1:7" ht="12.75">
      <c r="A338" s="15">
        <v>33054</v>
      </c>
      <c r="B338" s="43">
        <f t="shared" si="33"/>
        <v>174.93279081326534</v>
      </c>
      <c r="C338" s="43">
        <f t="shared" si="34"/>
        <v>169.17844307426984</v>
      </c>
      <c r="D338" s="43">
        <f t="shared" si="35"/>
        <v>151.0544009010531</v>
      </c>
      <c r="E338" s="43">
        <f t="shared" si="36"/>
        <v>165.55363167215432</v>
      </c>
      <c r="F338" s="43">
        <f t="shared" si="37"/>
        <v>176.51413156582555</v>
      </c>
      <c r="G338" s="43">
        <f t="shared" si="38"/>
        <v>94.04279609702513</v>
      </c>
    </row>
    <row r="339" spans="1:7" ht="12.75">
      <c r="A339" s="15">
        <v>33085</v>
      </c>
      <c r="B339" s="43">
        <f t="shared" si="33"/>
        <v>173.94051954393527</v>
      </c>
      <c r="C339" s="43">
        <f t="shared" si="34"/>
        <v>167.95527081344963</v>
      </c>
      <c r="D339" s="43">
        <f t="shared" si="35"/>
        <v>153.64128885879572</v>
      </c>
      <c r="E339" s="43">
        <f t="shared" si="36"/>
        <v>164.407609197606</v>
      </c>
      <c r="F339" s="43">
        <f t="shared" si="37"/>
        <v>174.9462452281708</v>
      </c>
      <c r="G339" s="43">
        <f t="shared" si="38"/>
        <v>93.20595685045329</v>
      </c>
    </row>
    <row r="340" spans="1:7" ht="12.75">
      <c r="A340" s="15">
        <v>33116</v>
      </c>
      <c r="B340" s="43">
        <f t="shared" si="33"/>
        <v>172.5933502200675</v>
      </c>
      <c r="C340" s="43">
        <f t="shared" si="34"/>
        <v>165.80738938064744</v>
      </c>
      <c r="D340" s="43">
        <f t="shared" si="35"/>
        <v>150.4543707751254</v>
      </c>
      <c r="E340" s="43">
        <f t="shared" si="36"/>
        <v>162.39457847524048</v>
      </c>
      <c r="F340" s="43">
        <f t="shared" si="37"/>
        <v>171.77302163953277</v>
      </c>
      <c r="G340" s="43">
        <f t="shared" si="38"/>
        <v>91.24191663141417</v>
      </c>
    </row>
    <row r="341" spans="1:7" ht="12.75">
      <c r="A341" s="15">
        <v>33146</v>
      </c>
      <c r="B341" s="43">
        <f t="shared" si="33"/>
        <v>171.22402909809153</v>
      </c>
      <c r="C341" s="43">
        <f t="shared" si="34"/>
        <v>164.41573495477215</v>
      </c>
      <c r="D341" s="43">
        <f t="shared" si="35"/>
        <v>148.44779030862267</v>
      </c>
      <c r="E341" s="43">
        <f t="shared" si="36"/>
        <v>161.08957739005172</v>
      </c>
      <c r="F341" s="43">
        <f t="shared" si="37"/>
        <v>170.24758918680018</v>
      </c>
      <c r="G341" s="43">
        <f t="shared" si="38"/>
        <v>90.39092065009716</v>
      </c>
    </row>
    <row r="342" spans="1:7" ht="12.75">
      <c r="A342" s="15">
        <v>33177</v>
      </c>
      <c r="B342" s="43">
        <f t="shared" si="33"/>
        <v>169.99763698967647</v>
      </c>
      <c r="C342" s="43">
        <f t="shared" si="34"/>
        <v>163.5466780546291</v>
      </c>
      <c r="D342" s="43">
        <f t="shared" si="35"/>
        <v>147.96975836818845</v>
      </c>
      <c r="E342" s="43">
        <f t="shared" si="36"/>
        <v>160.2743399829863</v>
      </c>
      <c r="F342" s="43">
        <f t="shared" si="37"/>
        <v>169.6866371701488</v>
      </c>
      <c r="G342" s="43">
        <f t="shared" si="38"/>
        <v>90.31999946424716</v>
      </c>
    </row>
    <row r="343" spans="1:7" ht="12.75">
      <c r="A343" s="15">
        <v>33207</v>
      </c>
      <c r="B343" s="43">
        <f t="shared" si="33"/>
        <v>169.11706622983363</v>
      </c>
      <c r="C343" s="43">
        <f t="shared" si="34"/>
        <v>163.48850071621385</v>
      </c>
      <c r="D343" s="43">
        <f t="shared" si="35"/>
        <v>149.09219157500166</v>
      </c>
      <c r="E343" s="43">
        <f t="shared" si="36"/>
        <v>160.2197531445711</v>
      </c>
      <c r="F343" s="43">
        <f t="shared" si="37"/>
        <v>170.49461423175978</v>
      </c>
      <c r="G343" s="43">
        <f t="shared" si="38"/>
        <v>91.53457622483421</v>
      </c>
    </row>
    <row r="344" spans="1:7" ht="12.75">
      <c r="A344" s="15">
        <v>33238</v>
      </c>
      <c r="B344" s="43">
        <f t="shared" si="33"/>
        <v>167.78553992057965</v>
      </c>
      <c r="C344" s="43">
        <f t="shared" si="34"/>
        <v>161.12979002248457</v>
      </c>
      <c r="D344" s="43">
        <f t="shared" si="35"/>
        <v>146.27897894810363</v>
      </c>
      <c r="E344" s="43">
        <f t="shared" si="36"/>
        <v>158.0065802327196</v>
      </c>
      <c r="F344" s="43">
        <f t="shared" si="37"/>
        <v>166.84950816129813</v>
      </c>
      <c r="G344" s="43">
        <f t="shared" si="38"/>
        <v>88.22000000907525</v>
      </c>
    </row>
    <row r="345" spans="1:7" ht="12.75">
      <c r="A345" s="15">
        <v>33269</v>
      </c>
      <c r="B345" s="43">
        <f t="shared" si="33"/>
        <v>166.49068857335055</v>
      </c>
      <c r="C345" s="43">
        <f t="shared" si="34"/>
        <v>159.94750526991174</v>
      </c>
      <c r="D345" s="43">
        <f t="shared" si="35"/>
        <v>144.45329163240905</v>
      </c>
      <c r="E345" s="43">
        <f t="shared" si="36"/>
        <v>156.89655399566243</v>
      </c>
      <c r="F345" s="43">
        <f t="shared" si="37"/>
        <v>165.6924806755054</v>
      </c>
      <c r="G345" s="43">
        <f t="shared" si="38"/>
        <v>87.69339057799216</v>
      </c>
    </row>
    <row r="346" spans="1:7" ht="12.75">
      <c r="A346" s="15">
        <v>33297</v>
      </c>
      <c r="B346" s="43">
        <f t="shared" si="33"/>
        <v>165.72083562938738</v>
      </c>
      <c r="C346" s="43">
        <f t="shared" si="34"/>
        <v>160.41180029043713</v>
      </c>
      <c r="D346" s="43">
        <f t="shared" si="35"/>
        <v>146.34554799643078</v>
      </c>
      <c r="E346" s="43">
        <f t="shared" si="36"/>
        <v>157.33260951023416</v>
      </c>
      <c r="F346" s="43">
        <f t="shared" si="37"/>
        <v>167.49636483104973</v>
      </c>
      <c r="G346" s="43">
        <f t="shared" si="38"/>
        <v>90.55444800243129</v>
      </c>
    </row>
    <row r="347" spans="1:7" ht="12.75">
      <c r="A347" s="15">
        <v>33328</v>
      </c>
      <c r="B347" s="43">
        <f t="shared" si="33"/>
        <v>164.99824306979258</v>
      </c>
      <c r="C347" s="43">
        <f t="shared" si="34"/>
        <v>159.8152849611871</v>
      </c>
      <c r="D347" s="43">
        <f t="shared" si="35"/>
        <v>146.8726190523188</v>
      </c>
      <c r="E347" s="43">
        <f t="shared" si="36"/>
        <v>156.77244464620816</v>
      </c>
      <c r="F347" s="43">
        <f t="shared" si="37"/>
        <v>166.9875089461243</v>
      </c>
      <c r="G347" s="43">
        <f t="shared" si="38"/>
        <v>90.49482365273259</v>
      </c>
    </row>
    <row r="348" spans="1:7" ht="12.75">
      <c r="A348" s="15">
        <v>33358</v>
      </c>
      <c r="B348" s="43">
        <f t="shared" si="33"/>
        <v>164.43363558183205</v>
      </c>
      <c r="C348" s="43">
        <f t="shared" si="34"/>
        <v>159.63333031972064</v>
      </c>
      <c r="D348" s="43">
        <f t="shared" si="35"/>
        <v>147.22627405467256</v>
      </c>
      <c r="E348" s="43">
        <f t="shared" si="36"/>
        <v>156.60155081806144</v>
      </c>
      <c r="F348" s="43">
        <f t="shared" si="37"/>
        <v>167.20185105096428</v>
      </c>
      <c r="G348" s="43">
        <f t="shared" si="38"/>
        <v>91.47328573946436</v>
      </c>
    </row>
    <row r="349" spans="1:7" ht="12.75">
      <c r="A349" s="15">
        <v>33389</v>
      </c>
      <c r="B349" s="43">
        <f t="shared" si="33"/>
        <v>164.56108809277154</v>
      </c>
      <c r="C349" s="43">
        <f t="shared" si="34"/>
        <v>161.38729880120061</v>
      </c>
      <c r="D349" s="43">
        <f t="shared" si="35"/>
        <v>151.10482710849465</v>
      </c>
      <c r="E349" s="43">
        <f t="shared" si="36"/>
        <v>158.2489774870137</v>
      </c>
      <c r="F349" s="43">
        <f t="shared" si="37"/>
        <v>170.85026179241933</v>
      </c>
      <c r="G349" s="43">
        <f t="shared" si="38"/>
        <v>98.49938338535854</v>
      </c>
    </row>
    <row r="350" spans="1:7" ht="12.75">
      <c r="A350" s="15">
        <v>33419</v>
      </c>
      <c r="B350" s="43">
        <f t="shared" si="33"/>
        <v>164.8577423662764</v>
      </c>
      <c r="C350" s="43">
        <f t="shared" si="34"/>
        <v>162.08176701809123</v>
      </c>
      <c r="D350" s="43">
        <f t="shared" si="35"/>
        <v>153.57876581790256</v>
      </c>
      <c r="E350" s="43">
        <f t="shared" si="36"/>
        <v>158.9009597143089</v>
      </c>
      <c r="F350" s="43">
        <f t="shared" si="37"/>
        <v>172.03860449602396</v>
      </c>
      <c r="G350" s="43">
        <f t="shared" si="38"/>
        <v>100.36615030800748</v>
      </c>
    </row>
    <row r="351" spans="1:7" ht="12.75">
      <c r="A351" s="15">
        <v>33450</v>
      </c>
      <c r="B351" s="43">
        <f t="shared" si="33"/>
        <v>164.20094912068916</v>
      </c>
      <c r="C351" s="43">
        <f t="shared" si="34"/>
        <v>159.1538356307793</v>
      </c>
      <c r="D351" s="43">
        <f t="shared" si="35"/>
        <v>148.29938975338854</v>
      </c>
      <c r="E351" s="43">
        <f t="shared" si="36"/>
        <v>156.152653779691</v>
      </c>
      <c r="F351" s="43">
        <f t="shared" si="37"/>
        <v>166.36122121709005</v>
      </c>
      <c r="G351" s="43">
        <f t="shared" si="38"/>
        <v>90.80580070438205</v>
      </c>
    </row>
    <row r="352" spans="1:7" ht="12.75">
      <c r="A352" s="15">
        <v>33481</v>
      </c>
      <c r="B352" s="43">
        <f t="shared" si="33"/>
        <v>164.47225834892126</v>
      </c>
      <c r="C352" s="43">
        <f t="shared" si="34"/>
        <v>161.59953205611583</v>
      </c>
      <c r="D352" s="43">
        <f t="shared" si="35"/>
        <v>151.44783944838457</v>
      </c>
      <c r="E352" s="43">
        <f t="shared" si="36"/>
        <v>158.4501067572698</v>
      </c>
      <c r="F352" s="43">
        <f t="shared" si="37"/>
        <v>171.337879677908</v>
      </c>
      <c r="G352" s="43">
        <f t="shared" si="38"/>
        <v>98.05087157016911</v>
      </c>
    </row>
    <row r="353" spans="1:7" ht="12.75">
      <c r="A353" s="15">
        <v>33511</v>
      </c>
      <c r="B353" s="43">
        <f t="shared" si="33"/>
        <v>164.77549585163916</v>
      </c>
      <c r="C353" s="43">
        <f t="shared" si="34"/>
        <v>161.97273414226981</v>
      </c>
      <c r="D353" s="43">
        <f t="shared" si="35"/>
        <v>153.67793583822098</v>
      </c>
      <c r="E353" s="43">
        <f t="shared" si="36"/>
        <v>158.80046175975116</v>
      </c>
      <c r="F353" s="43">
        <f t="shared" si="37"/>
        <v>171.8182168184877</v>
      </c>
      <c r="G353" s="43">
        <f t="shared" si="38"/>
        <v>98.46016540689537</v>
      </c>
    </row>
    <row r="354" spans="1:7" ht="12.75">
      <c r="A354" s="15">
        <v>33542</v>
      </c>
      <c r="B354" s="43">
        <f t="shared" si="33"/>
        <v>165.1995950228621</v>
      </c>
      <c r="C354" s="43">
        <f t="shared" si="34"/>
        <v>162.67736760978428</v>
      </c>
      <c r="D354" s="43">
        <f t="shared" si="35"/>
        <v>154.76608460388658</v>
      </c>
      <c r="E354" s="43">
        <f t="shared" si="36"/>
        <v>159.46189335625357</v>
      </c>
      <c r="F354" s="43">
        <f t="shared" si="37"/>
        <v>172.60611822469872</v>
      </c>
      <c r="G354" s="43">
        <f t="shared" si="38"/>
        <v>99.5201533289701</v>
      </c>
    </row>
    <row r="355" spans="1:7" ht="12.75">
      <c r="A355" s="15">
        <v>33572</v>
      </c>
      <c r="B355" s="43">
        <f t="shared" si="33"/>
        <v>166.03758648857507</v>
      </c>
      <c r="C355" s="43">
        <f t="shared" si="34"/>
        <v>164.49167974377065</v>
      </c>
      <c r="D355" s="43">
        <f t="shared" si="35"/>
        <v>157.9627527172395</v>
      </c>
      <c r="E355" s="43">
        <f t="shared" si="36"/>
        <v>161.16465401740388</v>
      </c>
      <c r="F355" s="43">
        <f t="shared" si="37"/>
        <v>174.67019580100347</v>
      </c>
      <c r="G355" s="43">
        <f t="shared" si="38"/>
        <v>102.57600304876175</v>
      </c>
    </row>
    <row r="356" spans="1:7" ht="12.75">
      <c r="A356" s="15">
        <v>33603</v>
      </c>
      <c r="B356" s="43">
        <f t="shared" si="33"/>
        <v>166.5343045323143</v>
      </c>
      <c r="C356" s="43">
        <f t="shared" si="34"/>
        <v>164.15085143362845</v>
      </c>
      <c r="D356" s="43">
        <f t="shared" si="35"/>
        <v>157.41333812272924</v>
      </c>
      <c r="E356" s="43">
        <f t="shared" si="36"/>
        <v>160.84493140797693</v>
      </c>
      <c r="F356" s="43">
        <f t="shared" si="37"/>
        <v>174.19110723706495</v>
      </c>
      <c r="G356" s="43">
        <f t="shared" si="38"/>
        <v>100.90678148196037</v>
      </c>
    </row>
    <row r="357" spans="1:7" ht="12.75">
      <c r="A357" s="15">
        <v>33634</v>
      </c>
      <c r="B357" s="43">
        <f t="shared" si="33"/>
        <v>167.11615873891978</v>
      </c>
      <c r="C357" s="43">
        <f t="shared" si="34"/>
        <v>164.92500742994721</v>
      </c>
      <c r="D357" s="43">
        <f t="shared" si="35"/>
        <v>157.72190075807626</v>
      </c>
      <c r="E357" s="43">
        <f t="shared" si="36"/>
        <v>161.57121217740723</v>
      </c>
      <c r="F357" s="43">
        <f t="shared" si="37"/>
        <v>175.04081866362284</v>
      </c>
      <c r="G357" s="43">
        <f t="shared" si="38"/>
        <v>101.67824415303635</v>
      </c>
    </row>
    <row r="358" spans="1:7" ht="12.75">
      <c r="A358" s="15">
        <v>33663</v>
      </c>
      <c r="B358" s="43">
        <f t="shared" si="33"/>
        <v>167.13429084214297</v>
      </c>
      <c r="C358" s="43">
        <f t="shared" si="34"/>
        <v>163.58432365686315</v>
      </c>
      <c r="D358" s="43">
        <f t="shared" si="35"/>
        <v>154.90204076886116</v>
      </c>
      <c r="E358" s="43">
        <f t="shared" si="36"/>
        <v>160.31369001791995</v>
      </c>
      <c r="F358" s="43">
        <f t="shared" si="37"/>
        <v>172.08838121899893</v>
      </c>
      <c r="G358" s="43">
        <f t="shared" si="38"/>
        <v>98.89489888107948</v>
      </c>
    </row>
    <row r="359" spans="1:7" ht="12.75">
      <c r="A359" s="15">
        <v>33694</v>
      </c>
      <c r="B359" s="43">
        <f t="shared" si="33"/>
        <v>167.03055058781726</v>
      </c>
      <c r="C359" s="43">
        <f t="shared" si="34"/>
        <v>163.19253403791484</v>
      </c>
      <c r="D359" s="43">
        <f t="shared" si="35"/>
        <v>153.07229397123533</v>
      </c>
      <c r="E359" s="43">
        <f t="shared" si="36"/>
        <v>159.94607463581934</v>
      </c>
      <c r="F359" s="43">
        <f t="shared" si="37"/>
        <v>171.35232889708917</v>
      </c>
      <c r="G359" s="43">
        <f t="shared" si="38"/>
        <v>98.29674139926135</v>
      </c>
    </row>
    <row r="360" spans="1:7" ht="12.75">
      <c r="A360" s="15">
        <v>33724</v>
      </c>
      <c r="B360" s="43">
        <f t="shared" si="33"/>
        <v>167.34433418015152</v>
      </c>
      <c r="C360" s="43">
        <f t="shared" si="34"/>
        <v>164.49155332370538</v>
      </c>
      <c r="D360" s="43">
        <f t="shared" si="35"/>
        <v>155.27763538939067</v>
      </c>
      <c r="E360" s="43">
        <f t="shared" si="36"/>
        <v>161.16506626049252</v>
      </c>
      <c r="F360" s="43">
        <f t="shared" si="37"/>
        <v>173.82168843481705</v>
      </c>
      <c r="G360" s="43">
        <f t="shared" si="38"/>
        <v>100.1486194651009</v>
      </c>
    </row>
    <row r="361" spans="1:7" ht="12.75">
      <c r="A361" s="15">
        <v>33755</v>
      </c>
      <c r="B361" s="43">
        <f aca="true" t="shared" si="39" ref="B361:B424">+B360*(1+B125/100)</f>
        <v>167.84869326893707</v>
      </c>
      <c r="C361" s="43">
        <f aca="true" t="shared" si="40" ref="C361:C424">+C360*(1+C125/100)</f>
        <v>165.44171863904378</v>
      </c>
      <c r="D361" s="43">
        <f aca="true" t="shared" si="41" ref="D361:D424">+D360*(1+D125/100)</f>
        <v>157.54988287896995</v>
      </c>
      <c r="E361" s="43">
        <f aca="true" t="shared" si="42" ref="E361:E424">+E360*(1+E125/100)</f>
        <v>162.05639581120104</v>
      </c>
      <c r="F361" s="43">
        <f aca="true" t="shared" si="43" ref="F361:F424">+F360*(1+F125/100)</f>
        <v>174.88936044143395</v>
      </c>
      <c r="G361" s="43">
        <f aca="true" t="shared" si="44" ref="G361:G424">+G360*(1+G125/100)</f>
        <v>101.12601188693453</v>
      </c>
    </row>
    <row r="362" spans="1:7" ht="12.75">
      <c r="A362" s="15">
        <v>33785</v>
      </c>
      <c r="B362" s="43">
        <f t="shared" si="39"/>
        <v>167.6754566326142</v>
      </c>
      <c r="C362" s="43">
        <f t="shared" si="40"/>
        <v>163.64219898321878</v>
      </c>
      <c r="D362" s="43">
        <f t="shared" si="41"/>
        <v>154.17695266705599</v>
      </c>
      <c r="E362" s="43">
        <f t="shared" si="42"/>
        <v>160.36871792261582</v>
      </c>
      <c r="F362" s="43">
        <f t="shared" si="43"/>
        <v>171.160679494646</v>
      </c>
      <c r="G362" s="43">
        <f t="shared" si="44"/>
        <v>98.9331078475136</v>
      </c>
    </row>
    <row r="363" spans="1:7" ht="12.75">
      <c r="A363" s="15">
        <v>33816</v>
      </c>
      <c r="B363" s="43">
        <f t="shared" si="39"/>
        <v>167.85631138013815</v>
      </c>
      <c r="C363" s="43">
        <f t="shared" si="40"/>
        <v>164.6591496939974</v>
      </c>
      <c r="D363" s="43">
        <f t="shared" si="41"/>
        <v>154.8668628913773</v>
      </c>
      <c r="E363" s="43">
        <f t="shared" si="42"/>
        <v>161.3229105957598</v>
      </c>
      <c r="F363" s="43">
        <f t="shared" si="43"/>
        <v>173.15682785807903</v>
      </c>
      <c r="G363" s="43">
        <f t="shared" si="44"/>
        <v>99.89144869869952</v>
      </c>
    </row>
    <row r="364" spans="1:7" ht="12.75">
      <c r="A364" s="15">
        <v>33847</v>
      </c>
      <c r="B364" s="43">
        <f t="shared" si="39"/>
        <v>167.4034182664034</v>
      </c>
      <c r="C364" s="43">
        <f t="shared" si="40"/>
        <v>162.70171718617527</v>
      </c>
      <c r="D364" s="43">
        <f t="shared" si="41"/>
        <v>151.84429832408577</v>
      </c>
      <c r="E364" s="43">
        <f t="shared" si="42"/>
        <v>159.4867578772354</v>
      </c>
      <c r="F364" s="43">
        <f t="shared" si="43"/>
        <v>169.41043122679866</v>
      </c>
      <c r="G364" s="43">
        <f t="shared" si="44"/>
        <v>98.4097548684459</v>
      </c>
    </row>
    <row r="365" spans="1:7" ht="12.75">
      <c r="A365" s="15">
        <v>33877</v>
      </c>
      <c r="B365" s="43">
        <f t="shared" si="39"/>
        <v>166.3102237240983</v>
      </c>
      <c r="C365" s="43">
        <f t="shared" si="40"/>
        <v>160.1220765092387</v>
      </c>
      <c r="D365" s="43">
        <f t="shared" si="41"/>
        <v>146.37904413344958</v>
      </c>
      <c r="E365" s="43">
        <f t="shared" si="42"/>
        <v>157.0657091390452</v>
      </c>
      <c r="F365" s="43">
        <f t="shared" si="43"/>
        <v>165.04872997456096</v>
      </c>
      <c r="G365" s="43">
        <f t="shared" si="44"/>
        <v>96.85490169703775</v>
      </c>
    </row>
    <row r="366" spans="1:7" ht="12.75">
      <c r="A366" s="15">
        <v>33908</v>
      </c>
      <c r="B366" s="43">
        <f t="shared" si="39"/>
        <v>166.34310325532854</v>
      </c>
      <c r="C366" s="43">
        <f t="shared" si="40"/>
        <v>162.77508447841373</v>
      </c>
      <c r="D366" s="43">
        <f t="shared" si="41"/>
        <v>150.77173893987873</v>
      </c>
      <c r="E366" s="43">
        <f t="shared" si="42"/>
        <v>159.55732188185897</v>
      </c>
      <c r="F366" s="43">
        <f t="shared" si="43"/>
        <v>170.64955280177347</v>
      </c>
      <c r="G366" s="43">
        <f t="shared" si="44"/>
        <v>98.0259512029222</v>
      </c>
    </row>
    <row r="367" spans="1:7" ht="12.75">
      <c r="A367" s="15">
        <v>33938</v>
      </c>
      <c r="B367" s="43">
        <f t="shared" si="39"/>
        <v>166.45039455692825</v>
      </c>
      <c r="C367" s="43">
        <f t="shared" si="40"/>
        <v>163.057238191453</v>
      </c>
      <c r="D367" s="43">
        <f t="shared" si="41"/>
        <v>153.37287903353027</v>
      </c>
      <c r="E367" s="43">
        <f t="shared" si="42"/>
        <v>159.82212701620287</v>
      </c>
      <c r="F367" s="43">
        <f t="shared" si="43"/>
        <v>171.14237611684973</v>
      </c>
      <c r="G367" s="43">
        <f t="shared" si="44"/>
        <v>98.14477965921326</v>
      </c>
    </row>
    <row r="368" spans="1:7" ht="12.75">
      <c r="A368" s="15">
        <v>33969</v>
      </c>
      <c r="B368" s="43">
        <f t="shared" si="39"/>
        <v>166.395815472553</v>
      </c>
      <c r="C368" s="43">
        <f t="shared" si="40"/>
        <v>162.61776363503188</v>
      </c>
      <c r="D368" s="43">
        <f t="shared" si="41"/>
        <v>152.62709413878443</v>
      </c>
      <c r="E368" s="43">
        <f t="shared" si="42"/>
        <v>159.4097044849225</v>
      </c>
      <c r="F368" s="43">
        <f t="shared" si="43"/>
        <v>170.25134433221692</v>
      </c>
      <c r="G368" s="43">
        <f t="shared" si="44"/>
        <v>97.99803316751884</v>
      </c>
    </row>
    <row r="369" spans="1:7" ht="12.75">
      <c r="A369" s="15">
        <v>34000</v>
      </c>
      <c r="B369" s="43">
        <f t="shared" si="39"/>
        <v>166.71501256537402</v>
      </c>
      <c r="C369" s="43">
        <f t="shared" si="40"/>
        <v>163.8185142738145</v>
      </c>
      <c r="D369" s="43">
        <f t="shared" si="41"/>
        <v>154.53692475242053</v>
      </c>
      <c r="E369" s="43">
        <f t="shared" si="42"/>
        <v>160.53667206227829</v>
      </c>
      <c r="F369" s="43">
        <f t="shared" si="43"/>
        <v>172.49552440842626</v>
      </c>
      <c r="G369" s="43">
        <f t="shared" si="44"/>
        <v>98.44050475101582</v>
      </c>
    </row>
    <row r="370" spans="1:7" ht="12.75">
      <c r="A370" s="15">
        <v>34028</v>
      </c>
      <c r="B370" s="43">
        <f t="shared" si="39"/>
        <v>166.92570699825416</v>
      </c>
      <c r="C370" s="43">
        <f t="shared" si="40"/>
        <v>163.7646561177586</v>
      </c>
      <c r="D370" s="43">
        <f t="shared" si="41"/>
        <v>154.89043392707984</v>
      </c>
      <c r="E370" s="43">
        <f t="shared" si="42"/>
        <v>160.48613912111716</v>
      </c>
      <c r="F370" s="43">
        <f t="shared" si="43"/>
        <v>172.14741067775824</v>
      </c>
      <c r="G370" s="43">
        <f t="shared" si="44"/>
        <v>98.49309393234968</v>
      </c>
    </row>
    <row r="371" spans="1:7" ht="12.75">
      <c r="A371" s="15">
        <v>34059</v>
      </c>
      <c r="B371" s="43">
        <f t="shared" si="39"/>
        <v>167.78165194602911</v>
      </c>
      <c r="C371" s="43">
        <f t="shared" si="40"/>
        <v>166.14408528454993</v>
      </c>
      <c r="D371" s="43">
        <f t="shared" si="41"/>
        <v>158.8381502154272</v>
      </c>
      <c r="E371" s="43">
        <f t="shared" si="42"/>
        <v>162.71869303403977</v>
      </c>
      <c r="F371" s="43">
        <f t="shared" si="43"/>
        <v>174.86305151418887</v>
      </c>
      <c r="G371" s="43">
        <f t="shared" si="44"/>
        <v>99.4452633687845</v>
      </c>
    </row>
    <row r="372" spans="1:7" ht="12.75">
      <c r="A372" s="15">
        <v>34089</v>
      </c>
      <c r="B372" s="43">
        <f t="shared" si="39"/>
        <v>168.71575951507342</v>
      </c>
      <c r="C372" s="43">
        <f t="shared" si="40"/>
        <v>167.24683399365392</v>
      </c>
      <c r="D372" s="43">
        <f t="shared" si="41"/>
        <v>161.400695739648</v>
      </c>
      <c r="E372" s="43">
        <f t="shared" si="42"/>
        <v>163.75274161552468</v>
      </c>
      <c r="F372" s="43">
        <f t="shared" si="43"/>
        <v>176.04845519977857</v>
      </c>
      <c r="G372" s="43">
        <f t="shared" si="44"/>
        <v>100.05218400262021</v>
      </c>
    </row>
    <row r="373" spans="1:7" ht="12.75">
      <c r="A373" s="15">
        <v>34120</v>
      </c>
      <c r="B373" s="43">
        <f t="shared" si="39"/>
        <v>169.90173007500866</v>
      </c>
      <c r="C373" s="43">
        <f t="shared" si="40"/>
        <v>169.01744659921502</v>
      </c>
      <c r="D373" s="43">
        <f t="shared" si="41"/>
        <v>164.0109511824232</v>
      </c>
      <c r="E373" s="43">
        <f t="shared" si="42"/>
        <v>165.41258093872278</v>
      </c>
      <c r="F373" s="43">
        <f t="shared" si="43"/>
        <v>177.7313035705322</v>
      </c>
      <c r="G373" s="43">
        <f t="shared" si="44"/>
        <v>100.95485448679881</v>
      </c>
    </row>
    <row r="374" spans="1:7" ht="12.75">
      <c r="A374" s="15">
        <v>34150</v>
      </c>
      <c r="B374" s="43">
        <f t="shared" si="39"/>
        <v>172.0075260979043</v>
      </c>
      <c r="C374" s="43">
        <f t="shared" si="40"/>
        <v>173.31862646062484</v>
      </c>
      <c r="D374" s="43">
        <f t="shared" si="41"/>
        <v>171.4943686556827</v>
      </c>
      <c r="E374" s="43">
        <f t="shared" si="42"/>
        <v>169.44287215643752</v>
      </c>
      <c r="F374" s="43">
        <f t="shared" si="43"/>
        <v>181.27121956526386</v>
      </c>
      <c r="G374" s="43">
        <f t="shared" si="44"/>
        <v>103.74899758376297</v>
      </c>
    </row>
    <row r="375" spans="1:7" ht="12.75">
      <c r="A375" s="15">
        <v>34181</v>
      </c>
      <c r="B375" s="43">
        <f t="shared" si="39"/>
        <v>174.1554872808045</v>
      </c>
      <c r="C375" s="43">
        <f t="shared" si="40"/>
        <v>175.52234961917722</v>
      </c>
      <c r="D375" s="43">
        <f t="shared" si="41"/>
        <v>175.65298444939197</v>
      </c>
      <c r="E375" s="43">
        <f t="shared" si="42"/>
        <v>171.50562371638128</v>
      </c>
      <c r="F375" s="43">
        <f t="shared" si="43"/>
        <v>183.5586039336124</v>
      </c>
      <c r="G375" s="43">
        <f t="shared" si="44"/>
        <v>105.08664635185569</v>
      </c>
    </row>
    <row r="376" spans="1:7" ht="12.75">
      <c r="A376" s="15">
        <v>34212</v>
      </c>
      <c r="B376" s="43">
        <f t="shared" si="39"/>
        <v>176.1087629794998</v>
      </c>
      <c r="C376" s="43">
        <f t="shared" si="40"/>
        <v>176.94773843877732</v>
      </c>
      <c r="D376" s="43">
        <f t="shared" si="41"/>
        <v>176.40095933163838</v>
      </c>
      <c r="E376" s="43">
        <f t="shared" si="42"/>
        <v>172.83911785826416</v>
      </c>
      <c r="F376" s="43">
        <f t="shared" si="43"/>
        <v>185.28995080900944</v>
      </c>
      <c r="G376" s="43">
        <f t="shared" si="44"/>
        <v>105.55053067020577</v>
      </c>
    </row>
    <row r="377" spans="1:7" ht="12.75">
      <c r="A377" s="15">
        <v>34242</v>
      </c>
      <c r="B377" s="43">
        <f t="shared" si="39"/>
        <v>178.7201917713413</v>
      </c>
      <c r="C377" s="43">
        <f t="shared" si="40"/>
        <v>181.12713319385165</v>
      </c>
      <c r="D377" s="43">
        <f t="shared" si="41"/>
        <v>182.13093181811723</v>
      </c>
      <c r="E377" s="43">
        <f t="shared" si="42"/>
        <v>176.74772697781037</v>
      </c>
      <c r="F377" s="43">
        <f t="shared" si="43"/>
        <v>189.48471214538094</v>
      </c>
      <c r="G377" s="43">
        <f t="shared" si="44"/>
        <v>109.41088330651108</v>
      </c>
    </row>
    <row r="378" spans="1:7" ht="12.75">
      <c r="A378" s="15">
        <v>34273</v>
      </c>
      <c r="B378" s="43">
        <f t="shared" si="39"/>
        <v>181.65215013340767</v>
      </c>
      <c r="C378" s="43">
        <f t="shared" si="40"/>
        <v>184.79351964611666</v>
      </c>
      <c r="D378" s="43">
        <f t="shared" si="41"/>
        <v>188.1121124558877</v>
      </c>
      <c r="E378" s="43">
        <f t="shared" si="42"/>
        <v>180.17319869721976</v>
      </c>
      <c r="F378" s="43">
        <f t="shared" si="43"/>
        <v>193.2391880915594</v>
      </c>
      <c r="G378" s="43">
        <f t="shared" si="44"/>
        <v>112.32055874872806</v>
      </c>
    </row>
    <row r="379" spans="1:7" ht="12.75">
      <c r="A379" s="15">
        <v>34303</v>
      </c>
      <c r="B379" s="43">
        <f t="shared" si="39"/>
        <v>186.76787431589472</v>
      </c>
      <c r="C379" s="43">
        <f t="shared" si="40"/>
        <v>195.28420493729058</v>
      </c>
      <c r="D379" s="43">
        <f t="shared" si="41"/>
        <v>206.46897348989995</v>
      </c>
      <c r="E379" s="43">
        <f t="shared" si="42"/>
        <v>189.96627488653084</v>
      </c>
      <c r="F379" s="43">
        <f t="shared" si="43"/>
        <v>206.91430133571555</v>
      </c>
      <c r="G379" s="43">
        <f t="shared" si="44"/>
        <v>125.25347187674184</v>
      </c>
    </row>
    <row r="380" spans="1:7" ht="12.75">
      <c r="A380" s="15">
        <v>34334</v>
      </c>
      <c r="B380" s="43">
        <f t="shared" si="39"/>
        <v>193.5024437119144</v>
      </c>
      <c r="C380" s="43">
        <f t="shared" si="40"/>
        <v>206.07799907947626</v>
      </c>
      <c r="D380" s="43">
        <f t="shared" si="41"/>
        <v>228.1670391432677</v>
      </c>
      <c r="E380" s="43">
        <f t="shared" si="42"/>
        <v>200.01926701551713</v>
      </c>
      <c r="F380" s="43">
        <f t="shared" si="43"/>
        <v>220.29622528322497</v>
      </c>
      <c r="G380" s="43">
        <f t="shared" si="44"/>
        <v>137.5814831391497</v>
      </c>
    </row>
    <row r="381" spans="1:7" ht="12.75">
      <c r="A381" s="15">
        <v>34365</v>
      </c>
      <c r="B381" s="43">
        <f t="shared" si="39"/>
        <v>197.24907672755322</v>
      </c>
      <c r="C381" s="43">
        <f t="shared" si="40"/>
        <v>201.69591493696888</v>
      </c>
      <c r="D381" s="43">
        <f t="shared" si="41"/>
        <v>214.933811821842</v>
      </c>
      <c r="E381" s="43">
        <f t="shared" si="42"/>
        <v>195.9470329013192</v>
      </c>
      <c r="F381" s="43">
        <f t="shared" si="43"/>
        <v>211.23253304742602</v>
      </c>
      <c r="G381" s="43">
        <f t="shared" si="44"/>
        <v>111.75633023955737</v>
      </c>
    </row>
    <row r="382" spans="1:7" ht="12.75">
      <c r="A382" s="15">
        <v>34393</v>
      </c>
      <c r="B382" s="43">
        <f t="shared" si="39"/>
        <v>202.32942394774807</v>
      </c>
      <c r="C382" s="43">
        <f t="shared" si="40"/>
        <v>210.02873227275617</v>
      </c>
      <c r="D382" s="43">
        <f t="shared" si="41"/>
        <v>220.68207905992483</v>
      </c>
      <c r="E382" s="43">
        <f t="shared" si="42"/>
        <v>203.69781047377919</v>
      </c>
      <c r="F382" s="43">
        <f t="shared" si="43"/>
        <v>221.5673740484757</v>
      </c>
      <c r="G382" s="43">
        <f t="shared" si="44"/>
        <v>119.35453714207553</v>
      </c>
    </row>
    <row r="383" spans="1:7" ht="12.75">
      <c r="A383" s="15">
        <v>34424</v>
      </c>
      <c r="B383" s="43">
        <f t="shared" si="39"/>
        <v>208.65343242265888</v>
      </c>
      <c r="C383" s="43">
        <f t="shared" si="40"/>
        <v>219.40418757569574</v>
      </c>
      <c r="D383" s="43">
        <f t="shared" si="41"/>
        <v>237.36105562459636</v>
      </c>
      <c r="E383" s="43">
        <f t="shared" si="42"/>
        <v>212.40367371014696</v>
      </c>
      <c r="F383" s="43">
        <f t="shared" si="43"/>
        <v>232.90881965070727</v>
      </c>
      <c r="G383" s="43">
        <f t="shared" si="44"/>
        <v>127.6450830409793</v>
      </c>
    </row>
    <row r="384" spans="1:7" ht="12.75">
      <c r="A384" s="15">
        <v>34454</v>
      </c>
      <c r="B384" s="43">
        <f t="shared" si="39"/>
        <v>212.16600863077815</v>
      </c>
      <c r="C384" s="43">
        <f t="shared" si="40"/>
        <v>215.39858523299537</v>
      </c>
      <c r="D384" s="43">
        <f t="shared" si="41"/>
        <v>224.83993891656843</v>
      </c>
      <c r="E384" s="43">
        <f t="shared" si="42"/>
        <v>208.6909146469958</v>
      </c>
      <c r="F384" s="43">
        <f t="shared" si="43"/>
        <v>229.56823013288582</v>
      </c>
      <c r="G384" s="43">
        <f t="shared" si="44"/>
        <v>115.19613225067657</v>
      </c>
    </row>
    <row r="385" spans="1:7" ht="12.75">
      <c r="A385" s="15">
        <v>34485</v>
      </c>
      <c r="B385" s="43">
        <f t="shared" si="39"/>
        <v>214.68323102357718</v>
      </c>
      <c r="C385" s="43">
        <f t="shared" si="40"/>
        <v>215.34922999726038</v>
      </c>
      <c r="D385" s="43">
        <f t="shared" si="41"/>
        <v>214.4315444847389</v>
      </c>
      <c r="E385" s="43">
        <f t="shared" si="42"/>
        <v>208.64513148861772</v>
      </c>
      <c r="F385" s="43">
        <f t="shared" si="43"/>
        <v>230.69193259712364</v>
      </c>
      <c r="G385" s="43">
        <f t="shared" si="44"/>
        <v>112.97176991667438</v>
      </c>
    </row>
    <row r="386" spans="1:7" ht="12.75">
      <c r="A386" s="15">
        <v>34515</v>
      </c>
      <c r="B386" s="43">
        <f t="shared" si="39"/>
        <v>216.70799444865293</v>
      </c>
      <c r="C386" s="43">
        <f t="shared" si="40"/>
        <v>216.10538226924302</v>
      </c>
      <c r="D386" s="43">
        <f t="shared" si="41"/>
        <v>211.2876922620803</v>
      </c>
      <c r="E386" s="43">
        <f t="shared" si="42"/>
        <v>209.346564201622</v>
      </c>
      <c r="F386" s="43">
        <f t="shared" si="43"/>
        <v>231.89654426535756</v>
      </c>
      <c r="G386" s="43">
        <f t="shared" si="44"/>
        <v>112.34970820415779</v>
      </c>
    </row>
    <row r="387" spans="1:7" ht="12.75">
      <c r="A387" s="15">
        <v>34546</v>
      </c>
      <c r="B387" s="43">
        <f t="shared" si="39"/>
        <v>218.19870707166578</v>
      </c>
      <c r="C387" s="43">
        <f t="shared" si="40"/>
        <v>216.249742726201</v>
      </c>
      <c r="D387" s="43">
        <f t="shared" si="41"/>
        <v>208.6313806305259</v>
      </c>
      <c r="E387" s="43">
        <f t="shared" si="42"/>
        <v>209.48045795778933</v>
      </c>
      <c r="F387" s="43">
        <f t="shared" si="43"/>
        <v>232.46758246030723</v>
      </c>
      <c r="G387" s="43">
        <f t="shared" si="44"/>
        <v>111.38898814612473</v>
      </c>
    </row>
    <row r="388" spans="1:7" ht="12.75">
      <c r="A388" s="15">
        <v>34577</v>
      </c>
      <c r="B388" s="43">
        <f t="shared" si="39"/>
        <v>219.58156319760315</v>
      </c>
      <c r="C388" s="43">
        <f t="shared" si="40"/>
        <v>217.33541970877695</v>
      </c>
      <c r="D388" s="43">
        <f t="shared" si="41"/>
        <v>208.2031096117045</v>
      </c>
      <c r="E388" s="43">
        <f t="shared" si="42"/>
        <v>210.4873904810725</v>
      </c>
      <c r="F388" s="43">
        <f t="shared" si="43"/>
        <v>233.7231451313267</v>
      </c>
      <c r="G388" s="43">
        <f t="shared" si="44"/>
        <v>111.72801199841001</v>
      </c>
    </row>
    <row r="389" spans="1:7" ht="12.75">
      <c r="A389" s="15">
        <v>34607</v>
      </c>
      <c r="B389" s="43">
        <f t="shared" si="39"/>
        <v>220.69359010810476</v>
      </c>
      <c r="C389" s="43">
        <f t="shared" si="40"/>
        <v>217.76270828998346</v>
      </c>
      <c r="D389" s="43">
        <f t="shared" si="41"/>
        <v>207.53053442483855</v>
      </c>
      <c r="E389" s="43">
        <f t="shared" si="42"/>
        <v>210.88360344704523</v>
      </c>
      <c r="F389" s="43">
        <f t="shared" si="43"/>
        <v>234.08672151018115</v>
      </c>
      <c r="G389" s="43">
        <f t="shared" si="44"/>
        <v>111.42522735059055</v>
      </c>
    </row>
    <row r="390" spans="1:7" ht="12.75">
      <c r="A390" s="15">
        <v>34638</v>
      </c>
      <c r="B390" s="43">
        <f t="shared" si="39"/>
        <v>221.602604936401</v>
      </c>
      <c r="C390" s="43">
        <f t="shared" si="40"/>
        <v>218.15870936199988</v>
      </c>
      <c r="D390" s="43">
        <f t="shared" si="41"/>
        <v>206.72846070044346</v>
      </c>
      <c r="E390" s="43">
        <f t="shared" si="42"/>
        <v>211.2507737004425</v>
      </c>
      <c r="F390" s="43">
        <f t="shared" si="43"/>
        <v>234.44107009766776</v>
      </c>
      <c r="G390" s="43">
        <f t="shared" si="44"/>
        <v>111.24969482282356</v>
      </c>
    </row>
    <row r="391" spans="1:7" ht="12.75">
      <c r="A391" s="15">
        <v>34668</v>
      </c>
      <c r="B391" s="43">
        <f t="shared" si="39"/>
        <v>222.3662696732723</v>
      </c>
      <c r="C391" s="43">
        <f t="shared" si="40"/>
        <v>218.55335937733807</v>
      </c>
      <c r="D391" s="43">
        <f t="shared" si="41"/>
        <v>206.2493078970066</v>
      </c>
      <c r="E391" s="43">
        <f t="shared" si="42"/>
        <v>211.61666299219752</v>
      </c>
      <c r="F391" s="43">
        <f t="shared" si="43"/>
        <v>234.81433020807532</v>
      </c>
      <c r="G391" s="43">
        <f t="shared" si="44"/>
        <v>111.1859951956797</v>
      </c>
    </row>
    <row r="392" spans="1:7" ht="12.75">
      <c r="A392" s="15">
        <v>34699</v>
      </c>
      <c r="B392" s="43">
        <f t="shared" si="39"/>
        <v>223.02458501464002</v>
      </c>
      <c r="C392" s="43">
        <f t="shared" si="40"/>
        <v>218.94214613964988</v>
      </c>
      <c r="D392" s="43">
        <f t="shared" si="41"/>
        <v>206.00600855881228</v>
      </c>
      <c r="E392" s="43">
        <f t="shared" si="42"/>
        <v>211.97708862319757</v>
      </c>
      <c r="F392" s="43">
        <f t="shared" si="43"/>
        <v>235.19528764022598</v>
      </c>
      <c r="G392" s="43">
        <f t="shared" si="44"/>
        <v>111.19057419708703</v>
      </c>
    </row>
    <row r="393" spans="1:7" ht="12.75">
      <c r="A393" s="15">
        <v>34730</v>
      </c>
      <c r="B393" s="43">
        <f t="shared" si="39"/>
        <v>224.28630199944334</v>
      </c>
      <c r="C393" s="43">
        <f t="shared" si="40"/>
        <v>221.61746799830343</v>
      </c>
      <c r="D393" s="43">
        <f t="shared" si="41"/>
        <v>210.08633385713043</v>
      </c>
      <c r="E393" s="43">
        <f t="shared" si="42"/>
        <v>214.4570642524905</v>
      </c>
      <c r="F393" s="43">
        <f t="shared" si="43"/>
        <v>238.2736695721837</v>
      </c>
      <c r="G393" s="43">
        <f t="shared" si="44"/>
        <v>113.63489145938127</v>
      </c>
    </row>
    <row r="394" spans="1:7" ht="12.75">
      <c r="A394" s="15">
        <v>34758</v>
      </c>
      <c r="B394" s="43">
        <f t="shared" si="39"/>
        <v>224.72460229081062</v>
      </c>
      <c r="C394" s="43">
        <f t="shared" si="40"/>
        <v>220.05364719490768</v>
      </c>
      <c r="D394" s="43">
        <f t="shared" si="41"/>
        <v>207.3082800489827</v>
      </c>
      <c r="E394" s="43">
        <f t="shared" si="42"/>
        <v>213.00817504682615</v>
      </c>
      <c r="F394" s="43">
        <f t="shared" si="43"/>
        <v>234.31487141604882</v>
      </c>
      <c r="G394" s="43">
        <f t="shared" si="44"/>
        <v>111.336685621082</v>
      </c>
    </row>
    <row r="395" spans="1:7" ht="12.75">
      <c r="A395" s="15">
        <v>34789</v>
      </c>
      <c r="B395" s="43">
        <f t="shared" si="39"/>
        <v>225.05270021015522</v>
      </c>
      <c r="C395" s="43">
        <f t="shared" si="40"/>
        <v>220.11030749032014</v>
      </c>
      <c r="D395" s="43">
        <f t="shared" si="41"/>
        <v>205.42687988570339</v>
      </c>
      <c r="E395" s="43">
        <f t="shared" si="42"/>
        <v>213.0606870224651</v>
      </c>
      <c r="F395" s="43">
        <f t="shared" si="43"/>
        <v>234.07631544569531</v>
      </c>
      <c r="G395" s="43">
        <f t="shared" si="44"/>
        <v>111.17292713264551</v>
      </c>
    </row>
    <row r="396" spans="1:7" ht="12.75">
      <c r="A396" s="15">
        <v>34819</v>
      </c>
      <c r="B396" s="43">
        <f t="shared" si="39"/>
        <v>225.59098125851787</v>
      </c>
      <c r="C396" s="43">
        <f t="shared" si="40"/>
        <v>221.13582553500788</v>
      </c>
      <c r="D396" s="43">
        <f t="shared" si="41"/>
        <v>206.78209878229677</v>
      </c>
      <c r="E396" s="43">
        <f t="shared" si="42"/>
        <v>214.01111250488958</v>
      </c>
      <c r="F396" s="43">
        <f t="shared" si="43"/>
        <v>235.2372109738145</v>
      </c>
      <c r="G396" s="43">
        <f t="shared" si="44"/>
        <v>112.04718737139264</v>
      </c>
    </row>
    <row r="397" spans="1:7" ht="12.75">
      <c r="A397" s="15">
        <v>34850</v>
      </c>
      <c r="B397" s="43">
        <f t="shared" si="39"/>
        <v>225.98143412888012</v>
      </c>
      <c r="C397" s="43">
        <f t="shared" si="40"/>
        <v>221.1628962338803</v>
      </c>
      <c r="D397" s="43">
        <f t="shared" si="41"/>
        <v>206.77486394678354</v>
      </c>
      <c r="E397" s="43">
        <f t="shared" si="42"/>
        <v>214.03619602644352</v>
      </c>
      <c r="F397" s="43">
        <f t="shared" si="43"/>
        <v>234.86466665990383</v>
      </c>
      <c r="G397" s="43">
        <f t="shared" si="44"/>
        <v>111.80643873348643</v>
      </c>
    </row>
    <row r="398" spans="1:7" ht="12.75">
      <c r="A398" s="15">
        <v>34880</v>
      </c>
      <c r="B398" s="43">
        <f t="shared" si="39"/>
        <v>226.02335368491103</v>
      </c>
      <c r="C398" s="43">
        <f t="shared" si="40"/>
        <v>220.37232441827481</v>
      </c>
      <c r="D398" s="43">
        <f t="shared" si="41"/>
        <v>204.72994413322974</v>
      </c>
      <c r="E398" s="43">
        <f t="shared" si="42"/>
        <v>213.30366148911423</v>
      </c>
      <c r="F398" s="43">
        <f t="shared" si="43"/>
        <v>233.08833802841434</v>
      </c>
      <c r="G398" s="43">
        <f t="shared" si="44"/>
        <v>110.81050207922391</v>
      </c>
    </row>
    <row r="399" spans="1:7" ht="12.75">
      <c r="A399" s="15">
        <v>34911</v>
      </c>
      <c r="B399" s="43">
        <f t="shared" si="39"/>
        <v>226.39778397262546</v>
      </c>
      <c r="C399" s="43">
        <f t="shared" si="40"/>
        <v>221.52623038203794</v>
      </c>
      <c r="D399" s="43">
        <f t="shared" si="41"/>
        <v>206.10027787730314</v>
      </c>
      <c r="E399" s="43">
        <f t="shared" si="42"/>
        <v>214.37302041481766</v>
      </c>
      <c r="F399" s="43">
        <f t="shared" si="43"/>
        <v>235.1938797104217</v>
      </c>
      <c r="G399" s="43">
        <f t="shared" si="44"/>
        <v>111.96844659191257</v>
      </c>
    </row>
    <row r="400" spans="1:7" ht="12.75">
      <c r="A400" s="15">
        <v>34942</v>
      </c>
      <c r="B400" s="43">
        <f t="shared" si="39"/>
        <v>227.3396440335084</v>
      </c>
      <c r="C400" s="43">
        <f t="shared" si="40"/>
        <v>223.7973403690242</v>
      </c>
      <c r="D400" s="43">
        <f t="shared" si="41"/>
        <v>210.49463112056722</v>
      </c>
      <c r="E400" s="43">
        <f t="shared" si="42"/>
        <v>216.47725890120918</v>
      </c>
      <c r="F400" s="43">
        <f t="shared" si="43"/>
        <v>237.79492117266943</v>
      </c>
      <c r="G400" s="43">
        <f t="shared" si="44"/>
        <v>114.10581516807758</v>
      </c>
    </row>
    <row r="401" spans="1:7" ht="12.75">
      <c r="A401" s="15">
        <v>34972</v>
      </c>
      <c r="B401" s="43">
        <f t="shared" si="39"/>
        <v>228.13758345010163</v>
      </c>
      <c r="C401" s="43">
        <f t="shared" si="40"/>
        <v>224.22872148558764</v>
      </c>
      <c r="D401" s="43">
        <f t="shared" si="41"/>
        <v>211.56739080348294</v>
      </c>
      <c r="E401" s="43">
        <f t="shared" si="42"/>
        <v>216.87677134605514</v>
      </c>
      <c r="F401" s="43">
        <f t="shared" si="43"/>
        <v>238.20343591811564</v>
      </c>
      <c r="G401" s="43">
        <f t="shared" si="44"/>
        <v>114.06730431622134</v>
      </c>
    </row>
    <row r="402" spans="1:7" ht="12.75">
      <c r="A402" s="15">
        <v>35003</v>
      </c>
      <c r="B402" s="43">
        <f t="shared" si="39"/>
        <v>228.96528941661694</v>
      </c>
      <c r="C402" s="43">
        <f t="shared" si="40"/>
        <v>225.1067363721887</v>
      </c>
      <c r="D402" s="43">
        <f t="shared" si="41"/>
        <v>212.18745555730385</v>
      </c>
      <c r="E402" s="43">
        <f t="shared" si="42"/>
        <v>217.68985550666287</v>
      </c>
      <c r="F402" s="43">
        <f t="shared" si="43"/>
        <v>239.1452476977929</v>
      </c>
      <c r="G402" s="43">
        <f t="shared" si="44"/>
        <v>114.55822687340554</v>
      </c>
    </row>
    <row r="403" spans="1:7" ht="12.75">
      <c r="A403" s="15">
        <v>35033</v>
      </c>
      <c r="B403" s="43">
        <f t="shared" si="39"/>
        <v>229.5698951598505</v>
      </c>
      <c r="C403" s="43">
        <f t="shared" si="40"/>
        <v>225.1602572886399</v>
      </c>
      <c r="D403" s="43">
        <f t="shared" si="41"/>
        <v>211.62187845029413</v>
      </c>
      <c r="E403" s="43">
        <f t="shared" si="42"/>
        <v>217.73941023090342</v>
      </c>
      <c r="F403" s="43">
        <f t="shared" si="43"/>
        <v>239.12598171378588</v>
      </c>
      <c r="G403" s="43">
        <f t="shared" si="44"/>
        <v>114.21204375761883</v>
      </c>
    </row>
    <row r="404" spans="1:7" ht="12.75">
      <c r="A404" s="15">
        <v>35064</v>
      </c>
      <c r="B404" s="43">
        <f t="shared" si="39"/>
        <v>230.16122129580324</v>
      </c>
      <c r="C404" s="43">
        <f t="shared" si="40"/>
        <v>225.70472291247984</v>
      </c>
      <c r="D404" s="43">
        <f t="shared" si="41"/>
        <v>211.65215751543707</v>
      </c>
      <c r="E404" s="43">
        <f t="shared" si="42"/>
        <v>218.2435228785699</v>
      </c>
      <c r="F404" s="43">
        <f t="shared" si="43"/>
        <v>239.6992232859913</v>
      </c>
      <c r="G404" s="43">
        <f t="shared" si="44"/>
        <v>114.46448639894554</v>
      </c>
    </row>
    <row r="405" spans="1:7" ht="12.75">
      <c r="A405" s="15">
        <v>35095</v>
      </c>
      <c r="B405" s="43">
        <f t="shared" si="39"/>
        <v>231.51153114890144</v>
      </c>
      <c r="C405" s="43">
        <f t="shared" si="40"/>
        <v>228.83629724507128</v>
      </c>
      <c r="D405" s="43">
        <f t="shared" si="41"/>
        <v>216.78248214237328</v>
      </c>
      <c r="E405" s="43">
        <f t="shared" si="42"/>
        <v>221.1427034403134</v>
      </c>
      <c r="F405" s="43">
        <f t="shared" si="43"/>
        <v>243.27925161898787</v>
      </c>
      <c r="G405" s="43">
        <f t="shared" si="44"/>
        <v>117.23255290102803</v>
      </c>
    </row>
    <row r="406" spans="1:7" ht="12.75">
      <c r="A406" s="15">
        <v>35124</v>
      </c>
      <c r="B406" s="43">
        <f t="shared" si="39"/>
        <v>232.76062846406222</v>
      </c>
      <c r="C406" s="43">
        <f t="shared" si="40"/>
        <v>229.80847674013864</v>
      </c>
      <c r="D406" s="43">
        <f t="shared" si="41"/>
        <v>218.87165416534955</v>
      </c>
      <c r="E406" s="43">
        <f t="shared" si="42"/>
        <v>222.04221341215708</v>
      </c>
      <c r="F406" s="43">
        <f t="shared" si="43"/>
        <v>244.27582242131191</v>
      </c>
      <c r="G406" s="43">
        <f t="shared" si="44"/>
        <v>117.56507535210501</v>
      </c>
    </row>
    <row r="407" spans="1:7" ht="12.75">
      <c r="A407" s="15">
        <v>35155</v>
      </c>
      <c r="B407" s="43">
        <f t="shared" si="39"/>
        <v>234.2185944886354</v>
      </c>
      <c r="C407" s="43">
        <f t="shared" si="40"/>
        <v>231.73354582132941</v>
      </c>
      <c r="D407" s="43">
        <f t="shared" si="41"/>
        <v>221.0954522350919</v>
      </c>
      <c r="E407" s="43">
        <f t="shared" si="42"/>
        <v>223.823064662281</v>
      </c>
      <c r="F407" s="43">
        <f t="shared" si="43"/>
        <v>246.17295101370865</v>
      </c>
      <c r="G407" s="43">
        <f t="shared" si="44"/>
        <v>118.84572288075802</v>
      </c>
    </row>
    <row r="408" spans="1:7" ht="12.75">
      <c r="A408" s="15">
        <v>35185</v>
      </c>
      <c r="B408" s="43">
        <f t="shared" si="39"/>
        <v>235.5572240217163</v>
      </c>
      <c r="C408" s="43">
        <f t="shared" si="40"/>
        <v>232.74869125880852</v>
      </c>
      <c r="D408" s="43">
        <f t="shared" si="41"/>
        <v>222.07919753980573</v>
      </c>
      <c r="E408" s="43">
        <f t="shared" si="42"/>
        <v>224.76182778492506</v>
      </c>
      <c r="F408" s="43">
        <f t="shared" si="43"/>
        <v>247.20782507393253</v>
      </c>
      <c r="G408" s="43">
        <f t="shared" si="44"/>
        <v>119.17537405081346</v>
      </c>
    </row>
    <row r="409" spans="1:7" ht="12.75">
      <c r="A409" s="15">
        <v>35216</v>
      </c>
      <c r="B409" s="43">
        <f t="shared" si="39"/>
        <v>236.77133306576903</v>
      </c>
      <c r="C409" s="43">
        <f t="shared" si="40"/>
        <v>233.63055255744146</v>
      </c>
      <c r="D409" s="43">
        <f t="shared" si="41"/>
        <v>222.26792024444836</v>
      </c>
      <c r="E409" s="43">
        <f t="shared" si="42"/>
        <v>225.57718405254087</v>
      </c>
      <c r="F409" s="43">
        <f t="shared" si="43"/>
        <v>248.09975806267028</v>
      </c>
      <c r="G409" s="43">
        <f t="shared" si="44"/>
        <v>119.43178778873924</v>
      </c>
    </row>
    <row r="410" spans="1:7" ht="12.75">
      <c r="A410" s="15">
        <v>35246</v>
      </c>
      <c r="B410" s="43">
        <f t="shared" si="39"/>
        <v>239.16132657886823</v>
      </c>
      <c r="C410" s="43">
        <f t="shared" si="40"/>
        <v>238.79709365586427</v>
      </c>
      <c r="D410" s="43">
        <f t="shared" si="41"/>
        <v>230.42526859690906</v>
      </c>
      <c r="E410" s="43">
        <f t="shared" si="42"/>
        <v>230.35332622537837</v>
      </c>
      <c r="F410" s="43">
        <f t="shared" si="43"/>
        <v>252.32273819696488</v>
      </c>
      <c r="G410" s="43">
        <f t="shared" si="44"/>
        <v>123.80993553725854</v>
      </c>
    </row>
    <row r="411" spans="1:7" ht="12.75">
      <c r="A411" s="15">
        <v>35277</v>
      </c>
      <c r="B411" s="43">
        <f t="shared" si="39"/>
        <v>240.4100835294671</v>
      </c>
      <c r="C411" s="43">
        <f t="shared" si="40"/>
        <v>237.21264266836533</v>
      </c>
      <c r="D411" s="43">
        <f t="shared" si="41"/>
        <v>227.6979944227564</v>
      </c>
      <c r="E411" s="43">
        <f t="shared" si="42"/>
        <v>228.88994970262178</v>
      </c>
      <c r="F411" s="43">
        <f t="shared" si="43"/>
        <v>250.2522166828232</v>
      </c>
      <c r="G411" s="43">
        <f t="shared" si="44"/>
        <v>121.1910076230821</v>
      </c>
    </row>
    <row r="412" spans="1:7" ht="12.75">
      <c r="A412" s="15">
        <v>35308</v>
      </c>
      <c r="B412" s="43">
        <f t="shared" si="39"/>
        <v>242.3837541512106</v>
      </c>
      <c r="C412" s="43">
        <f t="shared" si="40"/>
        <v>240.88485114382266</v>
      </c>
      <c r="D412" s="43">
        <f t="shared" si="41"/>
        <v>231.07004029055832</v>
      </c>
      <c r="E412" s="43">
        <f t="shared" si="42"/>
        <v>232.28251365657206</v>
      </c>
      <c r="F412" s="43">
        <f t="shared" si="43"/>
        <v>253.60056499474197</v>
      </c>
      <c r="G412" s="43">
        <f t="shared" si="44"/>
        <v>124.08689018865526</v>
      </c>
    </row>
    <row r="413" spans="1:7" ht="12.75">
      <c r="A413" s="15">
        <v>35338</v>
      </c>
      <c r="B413" s="43">
        <f t="shared" si="39"/>
        <v>244.17705459467373</v>
      </c>
      <c r="C413" s="43">
        <f t="shared" si="40"/>
        <v>242.19170637045147</v>
      </c>
      <c r="D413" s="43">
        <f t="shared" si="41"/>
        <v>233.17192054885396</v>
      </c>
      <c r="E413" s="43">
        <f t="shared" si="42"/>
        <v>233.48906645234092</v>
      </c>
      <c r="F413" s="43">
        <f t="shared" si="43"/>
        <v>255.1209961550521</v>
      </c>
      <c r="G413" s="43">
        <f t="shared" si="44"/>
        <v>124.48257553522461</v>
      </c>
    </row>
    <row r="414" spans="1:7" ht="12.75">
      <c r="A414" s="15">
        <v>35369</v>
      </c>
      <c r="B414" s="43">
        <f t="shared" si="39"/>
        <v>246.16848939883153</v>
      </c>
      <c r="C414" s="43">
        <f t="shared" si="40"/>
        <v>244.61311954422163</v>
      </c>
      <c r="D414" s="43">
        <f t="shared" si="41"/>
        <v>235.67034808125175</v>
      </c>
      <c r="E414" s="43">
        <f t="shared" si="42"/>
        <v>235.72412037549327</v>
      </c>
      <c r="F414" s="43">
        <f t="shared" si="43"/>
        <v>257.53588541734996</v>
      </c>
      <c r="G414" s="43">
        <f t="shared" si="44"/>
        <v>125.99195376199998</v>
      </c>
    </row>
    <row r="415" spans="1:7" ht="12.75">
      <c r="A415" s="15">
        <v>35399</v>
      </c>
      <c r="B415" s="43">
        <f t="shared" si="39"/>
        <v>248.8411899219325</v>
      </c>
      <c r="C415" s="43">
        <f t="shared" si="40"/>
        <v>248.8768842056791</v>
      </c>
      <c r="D415" s="43">
        <f t="shared" si="41"/>
        <v>242.18332354486924</v>
      </c>
      <c r="E415" s="43">
        <f t="shared" si="42"/>
        <v>239.6580748180864</v>
      </c>
      <c r="F415" s="43">
        <f t="shared" si="43"/>
        <v>261.3076274674148</v>
      </c>
      <c r="G415" s="43">
        <f t="shared" si="44"/>
        <v>129.1148133893903</v>
      </c>
    </row>
    <row r="416" spans="1:7" ht="12.75">
      <c r="A416" s="15">
        <v>35430</v>
      </c>
      <c r="B416" s="43">
        <f t="shared" si="39"/>
        <v>251.68305584731695</v>
      </c>
      <c r="C416" s="43">
        <f t="shared" si="40"/>
        <v>252.06022133821526</v>
      </c>
      <c r="D416" s="43">
        <f t="shared" si="41"/>
        <v>247.08656809947428</v>
      </c>
      <c r="E416" s="43">
        <f t="shared" si="42"/>
        <v>242.59303330832657</v>
      </c>
      <c r="F416" s="43">
        <f t="shared" si="43"/>
        <v>264.49823873979403</v>
      </c>
      <c r="G416" s="43">
        <f t="shared" si="44"/>
        <v>131.0099488592042</v>
      </c>
    </row>
    <row r="417" spans="1:7" ht="12.75">
      <c r="A417" s="15">
        <v>35461</v>
      </c>
      <c r="B417" s="43">
        <f t="shared" si="39"/>
        <v>253.76804861856732</v>
      </c>
      <c r="C417" s="43">
        <f t="shared" si="40"/>
        <v>252.2248209424621</v>
      </c>
      <c r="D417" s="43">
        <f t="shared" si="41"/>
        <v>245.06689522509373</v>
      </c>
      <c r="E417" s="43">
        <f t="shared" si="42"/>
        <v>242.74470852396828</v>
      </c>
      <c r="F417" s="43">
        <f t="shared" si="43"/>
        <v>265.2541297894272</v>
      </c>
      <c r="G417" s="43">
        <f t="shared" si="44"/>
        <v>129.93366268239018</v>
      </c>
    </row>
    <row r="418" spans="1:7" ht="12.75">
      <c r="A418" s="15">
        <v>35489</v>
      </c>
      <c r="B418" s="43">
        <f t="shared" si="39"/>
        <v>256.22949718294797</v>
      </c>
      <c r="C418" s="43">
        <f t="shared" si="40"/>
        <v>255.53997143475928</v>
      </c>
      <c r="D418" s="43">
        <f t="shared" si="41"/>
        <v>247.78493904717928</v>
      </c>
      <c r="E418" s="43">
        <f t="shared" si="42"/>
        <v>245.79946799718755</v>
      </c>
      <c r="F418" s="43">
        <f t="shared" si="43"/>
        <v>268.47659019358605</v>
      </c>
      <c r="G418" s="43">
        <f t="shared" si="44"/>
        <v>132.27032103172203</v>
      </c>
    </row>
    <row r="419" spans="1:7" ht="12.75">
      <c r="A419" s="15">
        <v>35520</v>
      </c>
      <c r="B419" s="43">
        <f t="shared" si="39"/>
        <v>259.20767825165507</v>
      </c>
      <c r="C419" s="43">
        <f t="shared" si="40"/>
        <v>259.7061600307497</v>
      </c>
      <c r="D419" s="43">
        <f t="shared" si="41"/>
        <v>254.07997291441498</v>
      </c>
      <c r="E419" s="43">
        <f t="shared" si="42"/>
        <v>249.63630054293898</v>
      </c>
      <c r="F419" s="43">
        <f t="shared" si="43"/>
        <v>272.321286419854</v>
      </c>
      <c r="G419" s="43">
        <f t="shared" si="44"/>
        <v>135.2411481152322</v>
      </c>
    </row>
    <row r="420" spans="1:7" ht="12.75">
      <c r="A420" s="15">
        <v>35550</v>
      </c>
      <c r="B420" s="43">
        <f t="shared" si="39"/>
        <v>262.00888378898503</v>
      </c>
      <c r="C420" s="43">
        <f t="shared" si="40"/>
        <v>261.99690644321316</v>
      </c>
      <c r="D420" s="43">
        <f t="shared" si="41"/>
        <v>256.68294656346984</v>
      </c>
      <c r="E420" s="43">
        <f t="shared" si="42"/>
        <v>251.74451275661872</v>
      </c>
      <c r="F420" s="43">
        <f t="shared" si="43"/>
        <v>274.95248363490333</v>
      </c>
      <c r="G420" s="43">
        <f t="shared" si="44"/>
        <v>136.17723333934663</v>
      </c>
    </row>
    <row r="421" spans="1:7" ht="12.75">
      <c r="A421" s="15">
        <v>35581</v>
      </c>
      <c r="B421" s="43">
        <f t="shared" si="39"/>
        <v>264.91485051997705</v>
      </c>
      <c r="C421" s="43">
        <f t="shared" si="40"/>
        <v>265.0839832904969</v>
      </c>
      <c r="D421" s="43">
        <f t="shared" si="41"/>
        <v>259.5013936960819</v>
      </c>
      <c r="E421" s="43">
        <f t="shared" si="42"/>
        <v>254.58454396976478</v>
      </c>
      <c r="F421" s="43">
        <f t="shared" si="43"/>
        <v>278.11162514016706</v>
      </c>
      <c r="G421" s="43">
        <f t="shared" si="44"/>
        <v>137.85101551659025</v>
      </c>
    </row>
    <row r="422" spans="1:7" ht="12.75">
      <c r="A422" s="15">
        <v>35611</v>
      </c>
      <c r="B422" s="43">
        <f t="shared" si="39"/>
        <v>268.2789512237601</v>
      </c>
      <c r="C422" s="43">
        <f t="shared" si="40"/>
        <v>269.48722667315457</v>
      </c>
      <c r="D422" s="43">
        <f t="shared" si="41"/>
        <v>265.2975758200323</v>
      </c>
      <c r="E422" s="43">
        <f t="shared" si="42"/>
        <v>258.63340676334263</v>
      </c>
      <c r="F422" s="43">
        <f t="shared" si="43"/>
        <v>282.27030343354124</v>
      </c>
      <c r="G422" s="43">
        <f t="shared" si="44"/>
        <v>140.53430559386817</v>
      </c>
    </row>
    <row r="423" spans="1:7" ht="12.75">
      <c r="A423" s="15">
        <v>35642</v>
      </c>
      <c r="B423" s="43">
        <f t="shared" si="39"/>
        <v>270.3803802486958</v>
      </c>
      <c r="C423" s="43">
        <f t="shared" si="40"/>
        <v>268.40745989682443</v>
      </c>
      <c r="D423" s="43">
        <f t="shared" si="41"/>
        <v>261.0091424409951</v>
      </c>
      <c r="E423" s="43">
        <f t="shared" si="42"/>
        <v>257.64123190312324</v>
      </c>
      <c r="F423" s="43">
        <f t="shared" si="43"/>
        <v>282.10489641423425</v>
      </c>
      <c r="G423" s="43">
        <f t="shared" si="44"/>
        <v>138.5305621764874</v>
      </c>
    </row>
    <row r="424" spans="1:7" ht="12.75">
      <c r="A424" s="15">
        <v>35673</v>
      </c>
      <c r="B424" s="43">
        <f t="shared" si="39"/>
        <v>273.94707599670846</v>
      </c>
      <c r="C424" s="43">
        <f t="shared" si="40"/>
        <v>275.4477254173643</v>
      </c>
      <c r="D424" s="43">
        <f t="shared" si="41"/>
        <v>269.6577769519735</v>
      </c>
      <c r="E424" s="43">
        <f t="shared" si="42"/>
        <v>264.11149061961015</v>
      </c>
      <c r="F424" s="43">
        <f t="shared" si="43"/>
        <v>287.94600791940843</v>
      </c>
      <c r="G424" s="43">
        <f t="shared" si="44"/>
        <v>143.43185448275952</v>
      </c>
    </row>
    <row r="425" spans="1:7" ht="12.75">
      <c r="A425" s="15">
        <v>35703</v>
      </c>
      <c r="B425" s="43">
        <f aca="true" t="shared" si="45" ref="B425:B488">+B424*(1+B189/100)</f>
        <v>277.65218280485635</v>
      </c>
      <c r="C425" s="43">
        <f aca="true" t="shared" si="46" ref="C425:C488">+C424*(1+C189/100)</f>
        <v>279.39665183753004</v>
      </c>
      <c r="D425" s="43">
        <f aca="true" t="shared" si="47" ref="D425:D488">+D424*(1+D189/100)</f>
        <v>276.8370066335896</v>
      </c>
      <c r="E425" s="43">
        <f aca="true" t="shared" si="48" ref="E425:E488">+E424*(1+E189/100)</f>
        <v>267.7367490439466</v>
      </c>
      <c r="F425" s="43">
        <f aca="true" t="shared" si="49" ref="F425:F488">+F424*(1+F189/100)</f>
        <v>291.9751112970466</v>
      </c>
      <c r="G425" s="43">
        <f aca="true" t="shared" si="50" ref="G425:G488">+G424*(1+G189/100)</f>
        <v>145.54907187400795</v>
      </c>
    </row>
    <row r="426" spans="1:7" ht="12.75">
      <c r="A426" s="15">
        <v>35734</v>
      </c>
      <c r="B426" s="43">
        <f t="shared" si="45"/>
        <v>281.82432332977356</v>
      </c>
      <c r="C426" s="43">
        <f t="shared" si="46"/>
        <v>284.6158594882525</v>
      </c>
      <c r="D426" s="43">
        <f t="shared" si="47"/>
        <v>283.5281270298975</v>
      </c>
      <c r="E426" s="43">
        <f t="shared" si="48"/>
        <v>272.5252897891486</v>
      </c>
      <c r="F426" s="43">
        <f t="shared" si="49"/>
        <v>297.31030355782246</v>
      </c>
      <c r="G426" s="43">
        <f t="shared" si="50"/>
        <v>148.6794020352707</v>
      </c>
    </row>
    <row r="427" spans="1:7" ht="12.75">
      <c r="A427" s="15">
        <v>35764</v>
      </c>
      <c r="B427" s="43">
        <f t="shared" si="45"/>
        <v>286.1258643416205</v>
      </c>
      <c r="C427" s="43">
        <f t="shared" si="46"/>
        <v>289.12393338084905</v>
      </c>
      <c r="D427" s="43">
        <f t="shared" si="47"/>
        <v>289.1248130657955</v>
      </c>
      <c r="E427" s="43">
        <f t="shared" si="48"/>
        <v>276.6581485402479</v>
      </c>
      <c r="F427" s="43">
        <f t="shared" si="49"/>
        <v>302.00034820843007</v>
      </c>
      <c r="G427" s="43">
        <f t="shared" si="50"/>
        <v>151.1236549009618</v>
      </c>
    </row>
    <row r="428" spans="1:7" ht="12.75">
      <c r="A428" s="15">
        <v>35795</v>
      </c>
      <c r="B428" s="43">
        <f t="shared" si="45"/>
        <v>290.5149206502752</v>
      </c>
      <c r="C428" s="43">
        <f t="shared" si="46"/>
        <v>293.61272726694233</v>
      </c>
      <c r="D428" s="43">
        <f t="shared" si="47"/>
        <v>293.8274364816121</v>
      </c>
      <c r="E428" s="43">
        <f t="shared" si="48"/>
        <v>280.7706011810396</v>
      </c>
      <c r="F428" s="43">
        <f t="shared" si="49"/>
        <v>306.6827931993783</v>
      </c>
      <c r="G428" s="43">
        <f t="shared" si="50"/>
        <v>153.50731767997482</v>
      </c>
    </row>
    <row r="429" spans="1:7" ht="12.75">
      <c r="A429" s="15">
        <v>35826</v>
      </c>
      <c r="B429" s="43">
        <f t="shared" si="45"/>
        <v>293.56494964770627</v>
      </c>
      <c r="C429" s="43">
        <f t="shared" si="46"/>
        <v>293.2367686355609</v>
      </c>
      <c r="D429" s="43">
        <f t="shared" si="47"/>
        <v>288.9598496621509</v>
      </c>
      <c r="E429" s="43">
        <f t="shared" si="48"/>
        <v>280.4263870958381</v>
      </c>
      <c r="F429" s="43">
        <f t="shared" si="49"/>
        <v>307.8206870645897</v>
      </c>
      <c r="G429" s="43">
        <f t="shared" si="50"/>
        <v>150.46348827874493</v>
      </c>
    </row>
    <row r="430" spans="1:7" ht="12.75">
      <c r="A430" s="15">
        <v>35854</v>
      </c>
      <c r="B430" s="43">
        <f t="shared" si="45"/>
        <v>297.1243659491948</v>
      </c>
      <c r="C430" s="43">
        <f t="shared" si="46"/>
        <v>297.95246173036344</v>
      </c>
      <c r="D430" s="43">
        <f t="shared" si="47"/>
        <v>292.1761886038536</v>
      </c>
      <c r="E430" s="43">
        <f t="shared" si="48"/>
        <v>284.74414022144333</v>
      </c>
      <c r="F430" s="43">
        <f t="shared" si="49"/>
        <v>312.25486637736435</v>
      </c>
      <c r="G430" s="43">
        <f t="shared" si="50"/>
        <v>153.70594719290403</v>
      </c>
    </row>
    <row r="431" spans="1:7" ht="12.75">
      <c r="A431" s="15">
        <v>35885</v>
      </c>
      <c r="B431" s="43">
        <f t="shared" si="45"/>
        <v>300.03045023523407</v>
      </c>
      <c r="C431" s="43">
        <f t="shared" si="46"/>
        <v>299.1671842584277</v>
      </c>
      <c r="D431" s="43">
        <f t="shared" si="47"/>
        <v>292.1772036951071</v>
      </c>
      <c r="E431" s="43">
        <f t="shared" si="48"/>
        <v>285.8556076141191</v>
      </c>
      <c r="F431" s="43">
        <f t="shared" si="49"/>
        <v>314.0424789755711</v>
      </c>
      <c r="G431" s="43">
        <f t="shared" si="50"/>
        <v>152.96051075253737</v>
      </c>
    </row>
    <row r="432" spans="1:7" ht="12.75">
      <c r="A432" s="15">
        <v>35915</v>
      </c>
      <c r="B432" s="43">
        <f t="shared" si="45"/>
        <v>303.53468588180147</v>
      </c>
      <c r="C432" s="43">
        <f t="shared" si="46"/>
        <v>304.0436432219247</v>
      </c>
      <c r="D432" s="43">
        <f t="shared" si="47"/>
        <v>297.275469518096</v>
      </c>
      <c r="E432" s="43">
        <f t="shared" si="48"/>
        <v>290.3167815786894</v>
      </c>
      <c r="F432" s="43">
        <f t="shared" si="49"/>
        <v>318.546607689664</v>
      </c>
      <c r="G432" s="43">
        <f t="shared" si="50"/>
        <v>156.42186987531147</v>
      </c>
    </row>
    <row r="433" spans="1:7" ht="12.75">
      <c r="A433" s="15">
        <v>35946</v>
      </c>
      <c r="B433" s="43">
        <f t="shared" si="45"/>
        <v>307.1804409939278</v>
      </c>
      <c r="C433" s="43">
        <f t="shared" si="46"/>
        <v>307.9406866278386</v>
      </c>
      <c r="D433" s="43">
        <f t="shared" si="47"/>
        <v>302.58241841309444</v>
      </c>
      <c r="E433" s="43">
        <f t="shared" si="48"/>
        <v>293.8795145973079</v>
      </c>
      <c r="F433" s="43">
        <f t="shared" si="49"/>
        <v>322.52070619218296</v>
      </c>
      <c r="G433" s="43">
        <f t="shared" si="50"/>
        <v>158.57946757532906</v>
      </c>
    </row>
    <row r="434" spans="1:7" ht="12.75">
      <c r="A434" s="15">
        <v>35976</v>
      </c>
      <c r="B434" s="43">
        <f t="shared" si="45"/>
        <v>311.47307263050925</v>
      </c>
      <c r="C434" s="43">
        <f t="shared" si="46"/>
        <v>313.7150410265819</v>
      </c>
      <c r="D434" s="43">
        <f t="shared" si="47"/>
        <v>310.36176980010254</v>
      </c>
      <c r="E434" s="43">
        <f t="shared" si="48"/>
        <v>299.1556690188425</v>
      </c>
      <c r="F434" s="43">
        <f t="shared" si="49"/>
        <v>327.9156475975056</v>
      </c>
      <c r="G434" s="43">
        <f t="shared" si="50"/>
        <v>162.39709161103542</v>
      </c>
    </row>
    <row r="435" spans="1:7" ht="12.75">
      <c r="A435" s="15">
        <v>36007</v>
      </c>
      <c r="B435" s="43">
        <f t="shared" si="45"/>
        <v>315.00847888870913</v>
      </c>
      <c r="C435" s="43">
        <f t="shared" si="46"/>
        <v>315.27309472695157</v>
      </c>
      <c r="D435" s="43">
        <f t="shared" si="47"/>
        <v>310.58125141597657</v>
      </c>
      <c r="E435" s="43">
        <f t="shared" si="48"/>
        <v>300.5781816806713</v>
      </c>
      <c r="F435" s="43">
        <f t="shared" si="49"/>
        <v>330.43121892486243</v>
      </c>
      <c r="G435" s="43">
        <f t="shared" si="50"/>
        <v>162.2023965755655</v>
      </c>
    </row>
    <row r="436" spans="1:7" ht="12.75">
      <c r="A436" s="15">
        <v>36038</v>
      </c>
      <c r="B436" s="43">
        <f t="shared" si="45"/>
        <v>318.1318194577386</v>
      </c>
      <c r="C436" s="43">
        <f t="shared" si="46"/>
        <v>317.2978285025793</v>
      </c>
      <c r="D436" s="43">
        <f t="shared" si="47"/>
        <v>309.44660363973</v>
      </c>
      <c r="E436" s="43">
        <f t="shared" si="48"/>
        <v>302.42638733060977</v>
      </c>
      <c r="F436" s="43">
        <f t="shared" si="49"/>
        <v>332.88676715938567</v>
      </c>
      <c r="G436" s="43">
        <f t="shared" si="50"/>
        <v>162.8561262392987</v>
      </c>
    </row>
    <row r="437" spans="1:7" ht="12.75">
      <c r="A437" s="15">
        <v>36068</v>
      </c>
      <c r="B437" s="43">
        <f t="shared" si="45"/>
        <v>320.31073610238656</v>
      </c>
      <c r="C437" s="43">
        <f t="shared" si="46"/>
        <v>317.103874390249</v>
      </c>
      <c r="D437" s="43">
        <f t="shared" si="47"/>
        <v>305.29987519109625</v>
      </c>
      <c r="E437" s="43">
        <f t="shared" si="48"/>
        <v>302.2493913530138</v>
      </c>
      <c r="F437" s="43">
        <f t="shared" si="49"/>
        <v>333.40080851876814</v>
      </c>
      <c r="G437" s="43">
        <f t="shared" si="50"/>
        <v>162.09148728512423</v>
      </c>
    </row>
    <row r="438" spans="1:7" ht="12.75">
      <c r="A438" s="15">
        <v>36099</v>
      </c>
      <c r="B438" s="43">
        <f t="shared" si="45"/>
        <v>322.3198211324416</v>
      </c>
      <c r="C438" s="43">
        <f t="shared" si="46"/>
        <v>318.6477887564868</v>
      </c>
      <c r="D438" s="43">
        <f t="shared" si="47"/>
        <v>304.2639244485568</v>
      </c>
      <c r="E438" s="43">
        <f t="shared" si="48"/>
        <v>303.65835217749697</v>
      </c>
      <c r="F438" s="43">
        <f t="shared" si="49"/>
        <v>335.15926413617024</v>
      </c>
      <c r="G438" s="43">
        <f t="shared" si="50"/>
        <v>162.80063575271254</v>
      </c>
    </row>
    <row r="439" spans="1:7" ht="12.75">
      <c r="A439" s="15">
        <v>36129</v>
      </c>
      <c r="B439" s="43">
        <f t="shared" si="45"/>
        <v>323.4039760828026</v>
      </c>
      <c r="C439" s="43">
        <f t="shared" si="46"/>
        <v>317.46432549084676</v>
      </c>
      <c r="D439" s="43">
        <f t="shared" si="47"/>
        <v>299.9425245372159</v>
      </c>
      <c r="E439" s="43">
        <f t="shared" si="48"/>
        <v>302.5785581354035</v>
      </c>
      <c r="F439" s="43">
        <f t="shared" si="49"/>
        <v>333.6002259404955</v>
      </c>
      <c r="G439" s="43">
        <f t="shared" si="50"/>
        <v>161.9138209830736</v>
      </c>
    </row>
    <row r="440" spans="1:7" ht="12.75">
      <c r="A440" s="15">
        <v>36160</v>
      </c>
      <c r="B440" s="43">
        <f t="shared" si="45"/>
        <v>325.81498506489754</v>
      </c>
      <c r="C440" s="43">
        <f t="shared" si="46"/>
        <v>322.9916251688729</v>
      </c>
      <c r="D440" s="43">
        <f t="shared" si="47"/>
        <v>307.2530853950915</v>
      </c>
      <c r="E440" s="43">
        <f t="shared" si="48"/>
        <v>307.6224765624533</v>
      </c>
      <c r="F440" s="43">
        <f t="shared" si="49"/>
        <v>338.44889351809013</v>
      </c>
      <c r="G440" s="43">
        <f t="shared" si="50"/>
        <v>164.9291839328863</v>
      </c>
    </row>
    <row r="441" spans="1:7" ht="12.75">
      <c r="A441" s="15">
        <v>36191</v>
      </c>
      <c r="B441" s="43">
        <f t="shared" si="45"/>
        <v>327.77665192697623</v>
      </c>
      <c r="C441" s="43">
        <f t="shared" si="46"/>
        <v>323.80904539051636</v>
      </c>
      <c r="D441" s="43">
        <f t="shared" si="47"/>
        <v>309.2575819332041</v>
      </c>
      <c r="E441" s="43">
        <f t="shared" si="48"/>
        <v>308.36786731859814</v>
      </c>
      <c r="F441" s="43">
        <f t="shared" si="49"/>
        <v>339.1489523674409</v>
      </c>
      <c r="G441" s="43">
        <f t="shared" si="50"/>
        <v>165.38924343524923</v>
      </c>
    </row>
    <row r="442" spans="1:7" ht="12.75">
      <c r="A442" s="15">
        <v>36219</v>
      </c>
      <c r="B442" s="43">
        <f t="shared" si="45"/>
        <v>330.25021843074313</v>
      </c>
      <c r="C442" s="43">
        <f t="shared" si="46"/>
        <v>327.4547859750407</v>
      </c>
      <c r="D442" s="43">
        <f t="shared" si="47"/>
        <v>313.31591498712163</v>
      </c>
      <c r="E442" s="43">
        <f t="shared" si="48"/>
        <v>311.69199522728456</v>
      </c>
      <c r="F442" s="43">
        <f t="shared" si="49"/>
        <v>342.60363309156156</v>
      </c>
      <c r="G442" s="43">
        <f t="shared" si="50"/>
        <v>167.18030767497643</v>
      </c>
    </row>
    <row r="443" spans="1:7" ht="12.75">
      <c r="A443" s="15">
        <v>36250</v>
      </c>
      <c r="B443" s="43">
        <f t="shared" si="45"/>
        <v>332.629605204493</v>
      </c>
      <c r="C443" s="43">
        <f t="shared" si="46"/>
        <v>329.54177184091884</v>
      </c>
      <c r="D443" s="43">
        <f t="shared" si="47"/>
        <v>315.97240689815817</v>
      </c>
      <c r="E443" s="43">
        <f t="shared" si="48"/>
        <v>313.5939738761836</v>
      </c>
      <c r="F443" s="43">
        <f t="shared" si="49"/>
        <v>344.8694689278323</v>
      </c>
      <c r="G443" s="43">
        <f t="shared" si="50"/>
        <v>168.26718728726954</v>
      </c>
    </row>
    <row r="444" spans="1:7" ht="12.75">
      <c r="A444" s="15">
        <v>36280</v>
      </c>
      <c r="B444" s="43">
        <f t="shared" si="45"/>
        <v>336.2904601134526</v>
      </c>
      <c r="C444" s="43">
        <f t="shared" si="46"/>
        <v>336.2165128267506</v>
      </c>
      <c r="D444" s="43">
        <f t="shared" si="47"/>
        <v>325.9781973101058</v>
      </c>
      <c r="E444" s="43">
        <f t="shared" si="48"/>
        <v>319.6753725696658</v>
      </c>
      <c r="F444" s="43">
        <f t="shared" si="49"/>
        <v>350.5032305994645</v>
      </c>
      <c r="G444" s="43">
        <f t="shared" si="50"/>
        <v>171.3842845759482</v>
      </c>
    </row>
    <row r="445" spans="1:7" ht="12.75">
      <c r="A445" s="15">
        <v>36311</v>
      </c>
      <c r="B445" s="43">
        <f t="shared" si="45"/>
        <v>340.0791420661368</v>
      </c>
      <c r="C445" s="43">
        <f t="shared" si="46"/>
        <v>340.2173134874006</v>
      </c>
      <c r="D445" s="43">
        <f t="shared" si="47"/>
        <v>332.72304037025515</v>
      </c>
      <c r="E445" s="43">
        <f t="shared" si="48"/>
        <v>323.3174475013966</v>
      </c>
      <c r="F445" s="43">
        <f t="shared" si="49"/>
        <v>354.57997485305424</v>
      </c>
      <c r="G445" s="43">
        <f t="shared" si="50"/>
        <v>173.3920215926246</v>
      </c>
    </row>
    <row r="446" spans="1:7" ht="12.75">
      <c r="A446" s="15">
        <v>36341</v>
      </c>
      <c r="B446" s="43">
        <f t="shared" si="45"/>
        <v>344.93105118599436</v>
      </c>
      <c r="C446" s="43">
        <f t="shared" si="46"/>
        <v>347.55544821720997</v>
      </c>
      <c r="D446" s="43">
        <f t="shared" si="47"/>
        <v>343.26670980744024</v>
      </c>
      <c r="E446" s="43">
        <f t="shared" si="48"/>
        <v>329.994276210168</v>
      </c>
      <c r="F446" s="43">
        <f t="shared" si="49"/>
        <v>361.93912458937007</v>
      </c>
      <c r="G446" s="43">
        <f t="shared" si="50"/>
        <v>176.68383993757726</v>
      </c>
    </row>
    <row r="447" spans="1:7" ht="12.75">
      <c r="A447" s="15">
        <v>36372</v>
      </c>
      <c r="B447" s="43">
        <f t="shared" si="45"/>
        <v>348.8443629479097</v>
      </c>
      <c r="C447" s="43">
        <f t="shared" si="46"/>
        <v>349.0275914167773</v>
      </c>
      <c r="D447" s="43">
        <f t="shared" si="47"/>
        <v>343.6781182145387</v>
      </c>
      <c r="E447" s="43">
        <f t="shared" si="48"/>
        <v>331.33254757746334</v>
      </c>
      <c r="F447" s="43">
        <f t="shared" si="49"/>
        <v>364.56244973613633</v>
      </c>
      <c r="G447" s="43">
        <f t="shared" si="50"/>
        <v>177.80244655697885</v>
      </c>
    </row>
    <row r="448" spans="1:7" ht="12.75">
      <c r="A448" s="15">
        <v>36403</v>
      </c>
      <c r="B448" s="43">
        <f t="shared" si="45"/>
        <v>352.7971533089088</v>
      </c>
      <c r="C448" s="43">
        <f t="shared" si="46"/>
        <v>352.97048319308306</v>
      </c>
      <c r="D448" s="43">
        <f t="shared" si="47"/>
        <v>345.4419367040793</v>
      </c>
      <c r="E448" s="43">
        <f t="shared" si="48"/>
        <v>334.9162423990241</v>
      </c>
      <c r="F448" s="43">
        <f t="shared" si="49"/>
        <v>368.6861350486411</v>
      </c>
      <c r="G448" s="43">
        <f t="shared" si="50"/>
        <v>179.8124202544101</v>
      </c>
    </row>
    <row r="449" spans="1:7" ht="12.75">
      <c r="A449" s="15">
        <v>36433</v>
      </c>
      <c r="B449" s="43">
        <f t="shared" si="45"/>
        <v>357.6101884729256</v>
      </c>
      <c r="C449" s="43">
        <f t="shared" si="46"/>
        <v>359.7710709007826</v>
      </c>
      <c r="D449" s="43">
        <f t="shared" si="47"/>
        <v>354.6348749424058</v>
      </c>
      <c r="E449" s="43">
        <f t="shared" si="48"/>
        <v>341.0943588422965</v>
      </c>
      <c r="F449" s="43">
        <f t="shared" si="49"/>
        <v>374.9109452996466</v>
      </c>
      <c r="G449" s="43">
        <f t="shared" si="50"/>
        <v>183.035283840263</v>
      </c>
    </row>
    <row r="450" spans="1:7" ht="12.75">
      <c r="A450" s="15">
        <v>36464</v>
      </c>
      <c r="B450" s="43">
        <f t="shared" si="45"/>
        <v>361.8855255591759</v>
      </c>
      <c r="C450" s="43">
        <f t="shared" si="46"/>
        <v>362.59524052455504</v>
      </c>
      <c r="D450" s="43">
        <f t="shared" si="47"/>
        <v>357.22646525027795</v>
      </c>
      <c r="E450" s="43">
        <f t="shared" si="48"/>
        <v>343.6579625935346</v>
      </c>
      <c r="F450" s="43">
        <f t="shared" si="49"/>
        <v>378.5060965448089</v>
      </c>
      <c r="G450" s="43">
        <f t="shared" si="50"/>
        <v>184.67544631163668</v>
      </c>
    </row>
    <row r="451" spans="1:7" ht="12.75">
      <c r="A451" s="15">
        <v>36494</v>
      </c>
      <c r="B451" s="43">
        <f t="shared" si="45"/>
        <v>366.90799001420146</v>
      </c>
      <c r="C451" s="43">
        <f t="shared" si="46"/>
        <v>369.32445873751885</v>
      </c>
      <c r="D451" s="43">
        <f t="shared" si="47"/>
        <v>364.7858437960424</v>
      </c>
      <c r="E451" s="43">
        <f t="shared" si="48"/>
        <v>349.7642992794198</v>
      </c>
      <c r="F451" s="43">
        <f t="shared" si="49"/>
        <v>384.7800753246864</v>
      </c>
      <c r="G451" s="43">
        <f t="shared" si="50"/>
        <v>187.84537675171967</v>
      </c>
    </row>
    <row r="452" spans="1:7" ht="12.75">
      <c r="A452" s="15">
        <v>36525</v>
      </c>
      <c r="B452" s="43">
        <f t="shared" si="45"/>
        <v>371.8615047149862</v>
      </c>
      <c r="C452" s="43">
        <f t="shared" si="46"/>
        <v>373.97099323547855</v>
      </c>
      <c r="D452" s="43">
        <f t="shared" si="47"/>
        <v>370.4048998796726</v>
      </c>
      <c r="E452" s="43">
        <f t="shared" si="48"/>
        <v>353.97746359677836</v>
      </c>
      <c r="F452" s="43">
        <f t="shared" si="49"/>
        <v>389.7709701754213</v>
      </c>
      <c r="G452" s="43">
        <f t="shared" si="50"/>
        <v>190.25532031065555</v>
      </c>
    </row>
    <row r="453" spans="1:7" ht="12.75">
      <c r="A453" s="15">
        <v>36556</v>
      </c>
      <c r="B453" s="43">
        <f t="shared" si="45"/>
        <v>375.46242559589376</v>
      </c>
      <c r="C453" s="43">
        <f t="shared" si="46"/>
        <v>374.11881216544066</v>
      </c>
      <c r="D453" s="43">
        <f t="shared" si="47"/>
        <v>365.74681871799737</v>
      </c>
      <c r="E453" s="43">
        <f t="shared" si="48"/>
        <v>354.11142496427857</v>
      </c>
      <c r="F453" s="43">
        <f t="shared" si="49"/>
        <v>390.9710121098588</v>
      </c>
      <c r="G453" s="43">
        <f t="shared" si="50"/>
        <v>190.75069424094352</v>
      </c>
    </row>
    <row r="454" spans="1:7" ht="12.75">
      <c r="A454" s="15">
        <v>36585</v>
      </c>
      <c r="B454" s="43">
        <f t="shared" si="45"/>
        <v>379.22947765813996</v>
      </c>
      <c r="C454" s="43">
        <f t="shared" si="46"/>
        <v>378.19063411620334</v>
      </c>
      <c r="D454" s="43">
        <f t="shared" si="47"/>
        <v>367.2113476267255</v>
      </c>
      <c r="E454" s="43">
        <f t="shared" si="48"/>
        <v>357.80146428768904</v>
      </c>
      <c r="F454" s="43">
        <f t="shared" si="49"/>
        <v>395.1301581848256</v>
      </c>
      <c r="G454" s="43">
        <f t="shared" si="50"/>
        <v>192.78420458374626</v>
      </c>
    </row>
    <row r="455" spans="1:7" ht="12.75">
      <c r="A455" s="15">
        <v>36616</v>
      </c>
      <c r="B455" s="43">
        <f t="shared" si="45"/>
        <v>383.46979413962663</v>
      </c>
      <c r="C455" s="43">
        <f t="shared" si="46"/>
        <v>383.4760410667442</v>
      </c>
      <c r="D455" s="43">
        <f t="shared" si="47"/>
        <v>373.9576001591393</v>
      </c>
      <c r="E455" s="43">
        <f t="shared" si="48"/>
        <v>362.58910551986463</v>
      </c>
      <c r="F455" s="43">
        <f t="shared" si="49"/>
        <v>400.1845271524202</v>
      </c>
      <c r="G455" s="43">
        <f t="shared" si="50"/>
        <v>195.3359704591334</v>
      </c>
    </row>
    <row r="456" spans="1:7" ht="12.75">
      <c r="A456" s="15">
        <v>36646</v>
      </c>
      <c r="B456" s="43">
        <f t="shared" si="45"/>
        <v>386.7511451680794</v>
      </c>
      <c r="C456" s="43">
        <f t="shared" si="46"/>
        <v>384.3086282584862</v>
      </c>
      <c r="D456" s="43">
        <f t="shared" si="47"/>
        <v>372.53755245448247</v>
      </c>
      <c r="E456" s="43">
        <f t="shared" si="48"/>
        <v>363.3428394470615</v>
      </c>
      <c r="F456" s="43">
        <f t="shared" si="49"/>
        <v>401.7917344704577</v>
      </c>
      <c r="G456" s="43">
        <f t="shared" si="50"/>
        <v>196.07628149312202</v>
      </c>
    </row>
    <row r="457" spans="1:7" ht="12.75">
      <c r="A457" s="15">
        <v>36677</v>
      </c>
      <c r="B457" s="43">
        <f t="shared" si="45"/>
        <v>390.283536752472</v>
      </c>
      <c r="C457" s="43">
        <f t="shared" si="46"/>
        <v>388.3578089223943</v>
      </c>
      <c r="D457" s="43">
        <f t="shared" si="47"/>
        <v>375.10022594714223</v>
      </c>
      <c r="E457" s="43">
        <f t="shared" si="48"/>
        <v>367.00818941849417</v>
      </c>
      <c r="F457" s="43">
        <f t="shared" si="49"/>
        <v>405.86227919147893</v>
      </c>
      <c r="G457" s="43">
        <f t="shared" si="50"/>
        <v>198.06608579304893</v>
      </c>
    </row>
    <row r="458" spans="1:7" ht="12.75">
      <c r="A458" s="15">
        <v>36707</v>
      </c>
      <c r="B458" s="43">
        <f t="shared" si="45"/>
        <v>393.4319540434542</v>
      </c>
      <c r="C458" s="43">
        <f t="shared" si="46"/>
        <v>390.4828758958708</v>
      </c>
      <c r="D458" s="43">
        <f t="shared" si="47"/>
        <v>376.3292589562953</v>
      </c>
      <c r="E458" s="43">
        <f t="shared" si="48"/>
        <v>368.9309630500177</v>
      </c>
      <c r="F458" s="43">
        <f t="shared" si="49"/>
        <v>408.3874333684523</v>
      </c>
      <c r="G458" s="43">
        <f t="shared" si="50"/>
        <v>199.28454403993547</v>
      </c>
    </row>
    <row r="459" spans="1:7" ht="12.75">
      <c r="A459" s="15">
        <v>36738</v>
      </c>
      <c r="B459" s="43">
        <f t="shared" si="45"/>
        <v>396.40877823733314</v>
      </c>
      <c r="C459" s="43">
        <f t="shared" si="46"/>
        <v>392.96164863183037</v>
      </c>
      <c r="D459" s="43">
        <f t="shared" si="47"/>
        <v>377.2763475932889</v>
      </c>
      <c r="E459" s="43">
        <f t="shared" si="48"/>
        <v>371.1732523569198</v>
      </c>
      <c r="F459" s="43">
        <f t="shared" si="49"/>
        <v>411.12361702169324</v>
      </c>
      <c r="G459" s="43">
        <f t="shared" si="50"/>
        <v>200.607591770047</v>
      </c>
    </row>
    <row r="460" spans="1:7" ht="12.75">
      <c r="A460" s="15">
        <v>36769</v>
      </c>
      <c r="B460" s="43">
        <f t="shared" si="45"/>
        <v>399.32075748138675</v>
      </c>
      <c r="C460" s="43">
        <f t="shared" si="46"/>
        <v>395.6375641989778</v>
      </c>
      <c r="D460" s="43">
        <f t="shared" si="47"/>
        <v>379.184492901163</v>
      </c>
      <c r="E460" s="43">
        <f t="shared" si="48"/>
        <v>373.5932265471226</v>
      </c>
      <c r="F460" s="43">
        <f t="shared" si="49"/>
        <v>413.98691036325675</v>
      </c>
      <c r="G460" s="43">
        <f t="shared" si="50"/>
        <v>201.982784713014</v>
      </c>
    </row>
    <row r="461" spans="1:7" ht="12.75">
      <c r="A461" s="15">
        <v>36799</v>
      </c>
      <c r="B461" s="43">
        <f t="shared" si="45"/>
        <v>402.6231401457578</v>
      </c>
      <c r="C461" s="43">
        <f t="shared" si="46"/>
        <v>399.7991069997715</v>
      </c>
      <c r="D461" s="43">
        <f t="shared" si="47"/>
        <v>384.11595712214194</v>
      </c>
      <c r="E461" s="43">
        <f t="shared" si="48"/>
        <v>377.35564991182576</v>
      </c>
      <c r="F461" s="43">
        <f t="shared" si="49"/>
        <v>418.07251082138447</v>
      </c>
      <c r="G461" s="43">
        <f t="shared" si="50"/>
        <v>204.18846127729927</v>
      </c>
    </row>
    <row r="462" spans="1:7" ht="12.75">
      <c r="A462" s="15">
        <v>36830</v>
      </c>
      <c r="B462" s="43">
        <f t="shared" si="45"/>
        <v>405.6552144895675</v>
      </c>
      <c r="C462" s="43">
        <f t="shared" si="46"/>
        <v>402.09080979610457</v>
      </c>
      <c r="D462" s="43">
        <f t="shared" si="47"/>
        <v>386.1552648145605</v>
      </c>
      <c r="E462" s="43">
        <f t="shared" si="48"/>
        <v>379.42664540877746</v>
      </c>
      <c r="F462" s="43">
        <f t="shared" si="49"/>
        <v>420.68622017446995</v>
      </c>
      <c r="G462" s="43">
        <f t="shared" si="50"/>
        <v>205.29736405385475</v>
      </c>
    </row>
    <row r="463" spans="1:7" ht="12.75">
      <c r="A463" s="15">
        <v>36860</v>
      </c>
      <c r="B463" s="43">
        <f t="shared" si="45"/>
        <v>408.49313780461506</v>
      </c>
      <c r="C463" s="43">
        <f t="shared" si="46"/>
        <v>404.3804557670818</v>
      </c>
      <c r="D463" s="43">
        <f t="shared" si="47"/>
        <v>387.0972637854478</v>
      </c>
      <c r="E463" s="43">
        <f t="shared" si="48"/>
        <v>381.4952802649644</v>
      </c>
      <c r="F463" s="43">
        <f t="shared" si="49"/>
        <v>423.2399521802047</v>
      </c>
      <c r="G463" s="43">
        <f t="shared" si="50"/>
        <v>206.42837635137892</v>
      </c>
    </row>
    <row r="464" spans="1:7" ht="12.75">
      <c r="A464" s="15">
        <v>36891</v>
      </c>
      <c r="B464" s="43">
        <f t="shared" si="45"/>
        <v>410.94299369997066</v>
      </c>
      <c r="C464" s="43">
        <f t="shared" si="46"/>
        <v>405.82306233470285</v>
      </c>
      <c r="D464" s="43">
        <f t="shared" si="47"/>
        <v>386.8111666588285</v>
      </c>
      <c r="E464" s="43">
        <f t="shared" si="48"/>
        <v>382.79832324192597</v>
      </c>
      <c r="F464" s="43">
        <f t="shared" si="49"/>
        <v>424.6135989926459</v>
      </c>
      <c r="G464" s="43">
        <f t="shared" si="50"/>
        <v>207.1358774246309</v>
      </c>
    </row>
    <row r="465" spans="1:7" ht="12.75">
      <c r="A465" s="15">
        <v>36922</v>
      </c>
      <c r="B465" s="43">
        <f t="shared" si="45"/>
        <v>413.76177497665685</v>
      </c>
      <c r="C465" s="43">
        <f t="shared" si="46"/>
        <v>409.4579254336436</v>
      </c>
      <c r="D465" s="43">
        <f t="shared" si="47"/>
        <v>390.530582733961</v>
      </c>
      <c r="E465" s="43">
        <f t="shared" si="48"/>
        <v>386.0810382783388</v>
      </c>
      <c r="F465" s="43">
        <f t="shared" si="49"/>
        <v>428.1594471367734</v>
      </c>
      <c r="G465" s="43">
        <f t="shared" si="50"/>
        <v>208.97568099203787</v>
      </c>
    </row>
    <row r="466" spans="1:7" ht="12.75">
      <c r="A466" s="15">
        <v>36950</v>
      </c>
      <c r="B466" s="43">
        <f t="shared" si="45"/>
        <v>416.2043348628765</v>
      </c>
      <c r="C466" s="43">
        <f t="shared" si="46"/>
        <v>410.9225996598138</v>
      </c>
      <c r="D466" s="43">
        <f t="shared" si="47"/>
        <v>391.44140175158003</v>
      </c>
      <c r="E466" s="43">
        <f t="shared" si="48"/>
        <v>387.40331408859976</v>
      </c>
      <c r="F466" s="43">
        <f t="shared" si="49"/>
        <v>429.5590745800286</v>
      </c>
      <c r="G466" s="43">
        <f t="shared" si="50"/>
        <v>209.65293553402736</v>
      </c>
    </row>
    <row r="467" spans="1:7" ht="12.75">
      <c r="A467" s="15">
        <v>36981</v>
      </c>
      <c r="B467" s="43">
        <f t="shared" si="45"/>
        <v>418.29825887157165</v>
      </c>
      <c r="C467" s="43">
        <f t="shared" si="46"/>
        <v>412.1177554035962</v>
      </c>
      <c r="D467" s="43">
        <f t="shared" si="47"/>
        <v>390.70664169574485</v>
      </c>
      <c r="E467" s="43">
        <f t="shared" si="48"/>
        <v>388.48211084127115</v>
      </c>
      <c r="F467" s="43">
        <f t="shared" si="49"/>
        <v>430.68764829272556</v>
      </c>
      <c r="G467" s="43">
        <f t="shared" si="50"/>
        <v>210.16804761723463</v>
      </c>
    </row>
    <row r="468" spans="1:7" ht="12.75">
      <c r="A468" s="15">
        <v>37011</v>
      </c>
      <c r="B468" s="43">
        <f t="shared" si="45"/>
        <v>420.6283474927899</v>
      </c>
      <c r="C468" s="43">
        <f t="shared" si="46"/>
        <v>414.95432038972126</v>
      </c>
      <c r="D468" s="43">
        <f t="shared" si="47"/>
        <v>393.35443692171344</v>
      </c>
      <c r="E468" s="43">
        <f t="shared" si="48"/>
        <v>391.04219510244496</v>
      </c>
      <c r="F468" s="43">
        <f t="shared" si="49"/>
        <v>433.7269138561221</v>
      </c>
      <c r="G468" s="43">
        <f t="shared" si="50"/>
        <v>211.71035610580842</v>
      </c>
    </row>
    <row r="469" spans="1:7" ht="12.75">
      <c r="A469" s="15">
        <v>37042</v>
      </c>
      <c r="B469" s="43">
        <f t="shared" si="45"/>
        <v>422.93629317264805</v>
      </c>
      <c r="C469" s="43">
        <f t="shared" si="46"/>
        <v>417.1468240664091</v>
      </c>
      <c r="D469" s="43">
        <f t="shared" si="47"/>
        <v>395.7724099061019</v>
      </c>
      <c r="E469" s="43">
        <f t="shared" si="48"/>
        <v>393.02041918509684</v>
      </c>
      <c r="F469" s="43">
        <f t="shared" si="49"/>
        <v>436.0069324551724</v>
      </c>
      <c r="G469" s="43">
        <f t="shared" si="50"/>
        <v>212.80834958894977</v>
      </c>
    </row>
    <row r="470" spans="1:7" ht="12.75">
      <c r="A470" s="15">
        <v>37072</v>
      </c>
      <c r="B470" s="43">
        <f t="shared" si="45"/>
        <v>425.3449153622663</v>
      </c>
      <c r="C470" s="43">
        <f t="shared" si="46"/>
        <v>419.733702088305</v>
      </c>
      <c r="D470" s="43">
        <f t="shared" si="47"/>
        <v>398.4203056609879</v>
      </c>
      <c r="E470" s="43">
        <f t="shared" si="48"/>
        <v>395.35395218561234</v>
      </c>
      <c r="F470" s="43">
        <f t="shared" si="49"/>
        <v>438.74001653736957</v>
      </c>
      <c r="G470" s="43">
        <f t="shared" si="50"/>
        <v>214.18377639055942</v>
      </c>
    </row>
    <row r="471" spans="1:7" ht="12.75">
      <c r="A471" s="15">
        <v>37103</v>
      </c>
      <c r="B471" s="43">
        <f t="shared" si="45"/>
        <v>427.5474364029952</v>
      </c>
      <c r="C471" s="43">
        <f t="shared" si="46"/>
        <v>421.37934881739216</v>
      </c>
      <c r="D471" s="43">
        <f t="shared" si="47"/>
        <v>399.49907431807515</v>
      </c>
      <c r="E471" s="43">
        <f t="shared" si="48"/>
        <v>396.83804368157394</v>
      </c>
      <c r="F471" s="43">
        <f t="shared" si="49"/>
        <v>440.3870914575417</v>
      </c>
      <c r="G471" s="43">
        <f t="shared" si="50"/>
        <v>214.8762339301158</v>
      </c>
    </row>
    <row r="472" spans="1:7" ht="12.75">
      <c r="A472" s="15">
        <v>37134</v>
      </c>
      <c r="B472" s="43">
        <f t="shared" si="45"/>
        <v>429.83199337467096</v>
      </c>
      <c r="C472" s="43">
        <f t="shared" si="46"/>
        <v>423.8003308496535</v>
      </c>
      <c r="D472" s="43">
        <f t="shared" si="47"/>
        <v>401.572494709953</v>
      </c>
      <c r="E472" s="43">
        <f t="shared" si="48"/>
        <v>399.020991937659</v>
      </c>
      <c r="F472" s="43">
        <f t="shared" si="49"/>
        <v>442.94073161338383</v>
      </c>
      <c r="G472" s="43">
        <f t="shared" si="50"/>
        <v>216.16232347074222</v>
      </c>
    </row>
    <row r="473" spans="1:7" ht="12.75">
      <c r="A473" s="15">
        <v>37164</v>
      </c>
      <c r="B473" s="43">
        <f t="shared" si="45"/>
        <v>431.8868482021979</v>
      </c>
      <c r="C473" s="43">
        <f t="shared" si="46"/>
        <v>425.24598265698404</v>
      </c>
      <c r="D473" s="43">
        <f t="shared" si="47"/>
        <v>402.3601636399406</v>
      </c>
      <c r="E473" s="43">
        <f t="shared" si="48"/>
        <v>400.3241886595015</v>
      </c>
      <c r="F473" s="43">
        <f t="shared" si="49"/>
        <v>444.3713169674822</v>
      </c>
      <c r="G473" s="43">
        <f t="shared" si="50"/>
        <v>216.70196587251414</v>
      </c>
    </row>
    <row r="474" spans="1:7" ht="12.75">
      <c r="A474" s="15">
        <v>37195</v>
      </c>
      <c r="B474" s="43">
        <f t="shared" si="45"/>
        <v>434.06109616210216</v>
      </c>
      <c r="C474" s="43">
        <f t="shared" si="46"/>
        <v>427.649310292874</v>
      </c>
      <c r="D474" s="43">
        <f t="shared" si="47"/>
        <v>404.4855597132816</v>
      </c>
      <c r="E474" s="43">
        <f t="shared" si="48"/>
        <v>402.4903780077092</v>
      </c>
      <c r="F474" s="43">
        <f t="shared" si="49"/>
        <v>446.9190743565052</v>
      </c>
      <c r="G474" s="43">
        <f t="shared" si="50"/>
        <v>218.04859623487295</v>
      </c>
    </row>
    <row r="475" spans="1:7" ht="12.75">
      <c r="A475" s="15">
        <v>37225</v>
      </c>
      <c r="B475" s="43">
        <f t="shared" si="45"/>
        <v>436.8390871775396</v>
      </c>
      <c r="C475" s="43">
        <f t="shared" si="46"/>
        <v>431.80738736067264</v>
      </c>
      <c r="D475" s="43">
        <f t="shared" si="47"/>
        <v>410.39588708029345</v>
      </c>
      <c r="E475" s="43">
        <f t="shared" si="48"/>
        <v>406.2372778476333</v>
      </c>
      <c r="F475" s="43">
        <f t="shared" si="49"/>
        <v>450.8354194591354</v>
      </c>
      <c r="G475" s="43">
        <f t="shared" si="50"/>
        <v>220.88033365518456</v>
      </c>
    </row>
    <row r="476" spans="1:7" ht="12.75">
      <c r="A476" s="15">
        <v>37256</v>
      </c>
      <c r="B476" s="43">
        <f t="shared" si="45"/>
        <v>439.96497663365597</v>
      </c>
      <c r="C476" s="43">
        <f t="shared" si="46"/>
        <v>435.69128447550787</v>
      </c>
      <c r="D476" s="43">
        <f t="shared" si="47"/>
        <v>416.2506429111908</v>
      </c>
      <c r="E476" s="43">
        <f t="shared" si="48"/>
        <v>409.7356760816489</v>
      </c>
      <c r="F476" s="43">
        <f t="shared" si="49"/>
        <v>454.65094791856865</v>
      </c>
      <c r="G476" s="43">
        <f t="shared" si="50"/>
        <v>223.31194099500033</v>
      </c>
    </row>
    <row r="477" spans="1:7" ht="12.75">
      <c r="A477" s="15">
        <v>37287</v>
      </c>
      <c r="B477" s="43">
        <f t="shared" si="45"/>
        <v>442.4618218725496</v>
      </c>
      <c r="C477" s="43">
        <f t="shared" si="46"/>
        <v>436.59421917309635</v>
      </c>
      <c r="D477" s="43">
        <f t="shared" si="47"/>
        <v>415.80571560490665</v>
      </c>
      <c r="E477" s="43">
        <f t="shared" si="48"/>
        <v>410.54868081237174</v>
      </c>
      <c r="F477" s="43">
        <f t="shared" si="49"/>
        <v>455.37618363560006</v>
      </c>
      <c r="G477" s="43">
        <f t="shared" si="50"/>
        <v>222.59135023358766</v>
      </c>
    </row>
    <row r="478" spans="1:7" ht="12.75">
      <c r="A478" s="15">
        <v>37315</v>
      </c>
      <c r="B478" s="43">
        <f t="shared" si="45"/>
        <v>445.3574247734301</v>
      </c>
      <c r="C478" s="43">
        <f t="shared" si="46"/>
        <v>440.37481410518996</v>
      </c>
      <c r="D478" s="43">
        <f t="shared" si="47"/>
        <v>419.2700192329879</v>
      </c>
      <c r="E478" s="43">
        <f t="shared" si="48"/>
        <v>413.9524386206131</v>
      </c>
      <c r="F478" s="43">
        <f t="shared" si="49"/>
        <v>459.0411523232286</v>
      </c>
      <c r="G478" s="43">
        <f t="shared" si="50"/>
        <v>225.21477881124852</v>
      </c>
    </row>
    <row r="479" spans="1:7" ht="12.75">
      <c r="A479" s="15">
        <v>37346</v>
      </c>
      <c r="B479" s="43">
        <f t="shared" si="45"/>
        <v>448.3258656167725</v>
      </c>
      <c r="C479" s="43">
        <f t="shared" si="46"/>
        <v>443.43970135170696</v>
      </c>
      <c r="D479" s="43">
        <f t="shared" si="47"/>
        <v>423.1131773068167</v>
      </c>
      <c r="E479" s="43">
        <f t="shared" si="48"/>
        <v>416.7108199043599</v>
      </c>
      <c r="F479" s="43">
        <f t="shared" si="49"/>
        <v>462.1969035736947</v>
      </c>
      <c r="G479" s="43">
        <f t="shared" si="50"/>
        <v>226.88553569287663</v>
      </c>
    </row>
    <row r="480" spans="1:7" ht="12.75">
      <c r="A480" s="15">
        <v>37376</v>
      </c>
      <c r="B480" s="43">
        <f t="shared" si="45"/>
        <v>451.9165523070838</v>
      </c>
      <c r="C480" s="43">
        <f t="shared" si="46"/>
        <v>448.441218628556</v>
      </c>
      <c r="D480" s="43">
        <f t="shared" si="47"/>
        <v>429.80681139179785</v>
      </c>
      <c r="E480" s="43">
        <f t="shared" si="48"/>
        <v>421.21083323345</v>
      </c>
      <c r="F480" s="43">
        <f t="shared" si="49"/>
        <v>466.9733354459205</v>
      </c>
      <c r="G480" s="43">
        <f t="shared" si="50"/>
        <v>230.61847779244076</v>
      </c>
    </row>
    <row r="481" spans="1:7" ht="12.75">
      <c r="A481" s="15">
        <v>37407</v>
      </c>
      <c r="B481" s="43">
        <f t="shared" si="45"/>
        <v>456.20302599737175</v>
      </c>
      <c r="C481" s="43">
        <f t="shared" si="46"/>
        <v>454.3052998974732</v>
      </c>
      <c r="D481" s="43">
        <f t="shared" si="47"/>
        <v>438.661073061334</v>
      </c>
      <c r="E481" s="43">
        <f t="shared" si="48"/>
        <v>426.4844165483827</v>
      </c>
      <c r="F481" s="43">
        <f t="shared" si="49"/>
        <v>472.59519477390165</v>
      </c>
      <c r="G481" s="43">
        <f t="shared" si="50"/>
        <v>235.39126429780683</v>
      </c>
    </row>
    <row r="482" spans="1:7" ht="12.75">
      <c r="A482" s="15">
        <v>37437</v>
      </c>
      <c r="B482" s="43">
        <f t="shared" si="45"/>
        <v>461.3062955273887</v>
      </c>
      <c r="C482" s="43">
        <f t="shared" si="46"/>
        <v>461.2680290109835</v>
      </c>
      <c r="D482" s="43">
        <f t="shared" si="47"/>
        <v>449.12130637038194</v>
      </c>
      <c r="E482" s="43">
        <f t="shared" si="48"/>
        <v>432.74257688431345</v>
      </c>
      <c r="F482" s="43">
        <f t="shared" si="49"/>
        <v>479.00931588236085</v>
      </c>
      <c r="G482" s="43">
        <f t="shared" si="50"/>
        <v>240.8678164856723</v>
      </c>
    </row>
    <row r="483" spans="1:7" ht="12.75">
      <c r="A483" s="15">
        <v>37468</v>
      </c>
      <c r="B483" s="43">
        <f t="shared" si="45"/>
        <v>465.3217823074364</v>
      </c>
      <c r="C483" s="43">
        <f t="shared" si="46"/>
        <v>462.49765004526796</v>
      </c>
      <c r="D483" s="43">
        <f t="shared" si="47"/>
        <v>448.3624996989618</v>
      </c>
      <c r="E483" s="43">
        <f t="shared" si="48"/>
        <v>433.84706075803126</v>
      </c>
      <c r="F483" s="43">
        <f t="shared" si="49"/>
        <v>481.1219852183204</v>
      </c>
      <c r="G483" s="43">
        <f t="shared" si="50"/>
        <v>238.52876483610387</v>
      </c>
    </row>
    <row r="484" spans="1:7" ht="12.75">
      <c r="A484" s="15">
        <v>37499</v>
      </c>
      <c r="B484" s="43">
        <f t="shared" si="45"/>
        <v>470.0857932468782</v>
      </c>
      <c r="C484" s="43">
        <f t="shared" si="46"/>
        <v>468.95851133371707</v>
      </c>
      <c r="D484" s="43">
        <f t="shared" si="47"/>
        <v>454.48907488277865</v>
      </c>
      <c r="E484" s="43">
        <f t="shared" si="48"/>
        <v>439.6497507492965</v>
      </c>
      <c r="F484" s="43">
        <f t="shared" si="49"/>
        <v>487.082374527956</v>
      </c>
      <c r="G484" s="43">
        <f t="shared" si="50"/>
        <v>243.5421348756133</v>
      </c>
    </row>
    <row r="485" spans="1:7" ht="12.75">
      <c r="A485" s="15">
        <v>37529</v>
      </c>
      <c r="B485" s="43">
        <f t="shared" si="45"/>
        <v>474.51160398171817</v>
      </c>
      <c r="C485" s="43">
        <f t="shared" si="46"/>
        <v>472.43435781947744</v>
      </c>
      <c r="D485" s="43">
        <f t="shared" si="47"/>
        <v>458.123693987607</v>
      </c>
      <c r="E485" s="43">
        <f t="shared" si="48"/>
        <v>442.76968052437826</v>
      </c>
      <c r="F485" s="43">
        <f t="shared" si="49"/>
        <v>490.9744397334565</v>
      </c>
      <c r="G485" s="43">
        <f t="shared" si="50"/>
        <v>244.5424910889389</v>
      </c>
    </row>
    <row r="486" spans="1:7" ht="12.75">
      <c r="A486" s="15">
        <v>37560</v>
      </c>
      <c r="B486" s="43">
        <f t="shared" si="45"/>
        <v>478.13198516661754</v>
      </c>
      <c r="C486" s="43">
        <f t="shared" si="46"/>
        <v>473.98670541668366</v>
      </c>
      <c r="D486" s="43">
        <f t="shared" si="47"/>
        <v>456.22967397004635</v>
      </c>
      <c r="E486" s="43">
        <f t="shared" si="48"/>
        <v>444.1626358770978</v>
      </c>
      <c r="F486" s="43">
        <f t="shared" si="49"/>
        <v>493.2038960423066</v>
      </c>
      <c r="G486" s="43">
        <f t="shared" si="50"/>
        <v>243.52973765060915</v>
      </c>
    </row>
    <row r="487" spans="1:7" ht="12.75">
      <c r="A487" s="15">
        <v>37590</v>
      </c>
      <c r="B487" s="43">
        <f t="shared" si="45"/>
        <v>481.93236943751594</v>
      </c>
      <c r="C487" s="43">
        <f t="shared" si="46"/>
        <v>478.1217082015945</v>
      </c>
      <c r="D487" s="43">
        <f t="shared" si="47"/>
        <v>458.9678266330068</v>
      </c>
      <c r="E487" s="43">
        <f t="shared" si="48"/>
        <v>447.87254687135277</v>
      </c>
      <c r="F487" s="43">
        <f t="shared" si="49"/>
        <v>497.39604363054104</v>
      </c>
      <c r="G487" s="43">
        <f t="shared" si="50"/>
        <v>245.90522130633173</v>
      </c>
    </row>
    <row r="488" spans="1:7" ht="12.75">
      <c r="A488" s="15">
        <v>37621</v>
      </c>
      <c r="B488" s="43">
        <f t="shared" si="45"/>
        <v>485.93905877054556</v>
      </c>
      <c r="C488" s="43">
        <f t="shared" si="46"/>
        <v>482.5218203936841</v>
      </c>
      <c r="D488" s="43">
        <f t="shared" si="47"/>
        <v>464.0331285104157</v>
      </c>
      <c r="E488" s="43">
        <f t="shared" si="48"/>
        <v>451.8188600962179</v>
      </c>
      <c r="F488" s="43">
        <f t="shared" si="49"/>
        <v>501.84576289352714</v>
      </c>
      <c r="G488" s="43">
        <f t="shared" si="50"/>
        <v>248.42825340581024</v>
      </c>
    </row>
    <row r="489" spans="1:7" ht="12.75">
      <c r="A489" s="15">
        <v>37652</v>
      </c>
      <c r="B489" s="43">
        <f aca="true" t="shared" si="51" ref="B489:B524">+B488*(1+B253/100)</f>
        <v>488.97807305019063</v>
      </c>
      <c r="C489" s="43">
        <f aca="true" t="shared" si="52" ref="C489:C524">+C488*(1+C253/100)</f>
        <v>483.12093507990005</v>
      </c>
      <c r="D489" s="43">
        <f aca="true" t="shared" si="53" ref="D489:D524">+D488*(1+D253/100)</f>
        <v>461.9145833965144</v>
      </c>
      <c r="E489" s="43">
        <f aca="true" t="shared" si="54" ref="E489:E524">+E488*(1+E253/100)</f>
        <v>452.35597745271434</v>
      </c>
      <c r="F489" s="43">
        <f aca="true" t="shared" si="55" ref="F489:F524">+F488*(1+F253/100)</f>
        <v>503.1956198226729</v>
      </c>
      <c r="G489" s="43">
        <f aca="true" t="shared" si="56" ref="G489:G524">+G488*(1+G253/100)</f>
        <v>247.97433881332591</v>
      </c>
    </row>
    <row r="490" spans="1:7" ht="12.75">
      <c r="A490" s="15">
        <v>37680</v>
      </c>
      <c r="B490" s="43">
        <f t="shared" si="51"/>
        <v>491.98391906084476</v>
      </c>
      <c r="C490" s="43">
        <f t="shared" si="52"/>
        <v>485.96534407801084</v>
      </c>
      <c r="D490" s="43">
        <f t="shared" si="53"/>
        <v>462.4839990712337</v>
      </c>
      <c r="E490" s="43">
        <f t="shared" si="54"/>
        <v>454.9059079490051</v>
      </c>
      <c r="F490" s="43">
        <f t="shared" si="55"/>
        <v>506.1959658201989</v>
      </c>
      <c r="G490" s="43">
        <f t="shared" si="56"/>
        <v>249.39438399929617</v>
      </c>
    </row>
    <row r="491" spans="1:7" ht="12.75">
      <c r="A491" s="15">
        <v>37711</v>
      </c>
      <c r="B491" s="43">
        <f t="shared" si="51"/>
        <v>495.59207992484505</v>
      </c>
      <c r="C491" s="43">
        <f t="shared" si="52"/>
        <v>490.93261308474547</v>
      </c>
      <c r="D491" s="43">
        <f t="shared" si="53"/>
        <v>468.859032034327</v>
      </c>
      <c r="E491" s="43">
        <f t="shared" si="54"/>
        <v>459.3578118486385</v>
      </c>
      <c r="F491" s="43">
        <f t="shared" si="55"/>
        <v>510.947714645797</v>
      </c>
      <c r="G491" s="43">
        <f t="shared" si="56"/>
        <v>252.3329689529064</v>
      </c>
    </row>
    <row r="492" spans="1:7" ht="12.75">
      <c r="A492" s="15">
        <v>37741</v>
      </c>
      <c r="B492" s="43">
        <f t="shared" si="51"/>
        <v>501.158124133689</v>
      </c>
      <c r="C492" s="43">
        <f t="shared" si="52"/>
        <v>501.10178739540595</v>
      </c>
      <c r="D492" s="43">
        <f t="shared" si="53"/>
        <v>485.566433403921</v>
      </c>
      <c r="E492" s="43">
        <f t="shared" si="54"/>
        <v>468.4679872211832</v>
      </c>
      <c r="F492" s="43">
        <f t="shared" si="55"/>
        <v>519.4785618146693</v>
      </c>
      <c r="G492" s="43">
        <f t="shared" si="56"/>
        <v>258.4055230267259</v>
      </c>
    </row>
    <row r="493" spans="1:7" ht="12.75">
      <c r="A493" s="15">
        <v>37772</v>
      </c>
      <c r="B493" s="43">
        <f t="shared" si="51"/>
        <v>504.8636873035334</v>
      </c>
      <c r="C493" s="43">
        <f t="shared" si="52"/>
        <v>500.12832030804066</v>
      </c>
      <c r="D493" s="43">
        <f t="shared" si="53"/>
        <v>482.6418686934695</v>
      </c>
      <c r="E493" s="43">
        <f t="shared" si="54"/>
        <v>467.59664840270176</v>
      </c>
      <c r="F493" s="43">
        <f t="shared" si="55"/>
        <v>519.8707197901955</v>
      </c>
      <c r="G493" s="43">
        <f t="shared" si="56"/>
        <v>257.7673713495801</v>
      </c>
    </row>
    <row r="494" spans="1:7" ht="12.75">
      <c r="A494" s="15">
        <v>37802</v>
      </c>
      <c r="B494" s="43">
        <f t="shared" si="51"/>
        <v>508.81197377009073</v>
      </c>
      <c r="C494" s="43">
        <f t="shared" si="52"/>
        <v>504.55859922547126</v>
      </c>
      <c r="D494" s="43">
        <f t="shared" si="53"/>
        <v>483.6951935095965</v>
      </c>
      <c r="E494" s="43">
        <f t="shared" si="54"/>
        <v>471.56246689767664</v>
      </c>
      <c r="F494" s="43">
        <f t="shared" si="55"/>
        <v>524.3200053524619</v>
      </c>
      <c r="G494" s="43">
        <f t="shared" si="56"/>
        <v>259.99726691887844</v>
      </c>
    </row>
    <row r="495" spans="1:7" ht="12.75">
      <c r="A495" s="15">
        <v>37833</v>
      </c>
      <c r="B495" s="43">
        <f t="shared" si="51"/>
        <v>512.8708177660521</v>
      </c>
      <c r="C495" s="43">
        <f t="shared" si="52"/>
        <v>508.7757747566921</v>
      </c>
      <c r="D495" s="43">
        <f t="shared" si="53"/>
        <v>488.4117527070998</v>
      </c>
      <c r="E495" s="43">
        <f t="shared" si="54"/>
        <v>475.3361125701658</v>
      </c>
      <c r="F495" s="43">
        <f t="shared" si="55"/>
        <v>528.6446256681999</v>
      </c>
      <c r="G495" s="43">
        <f t="shared" si="56"/>
        <v>262.14960404299217</v>
      </c>
    </row>
    <row r="496" spans="1:7" ht="12.75">
      <c r="A496" s="15">
        <v>37864</v>
      </c>
      <c r="B496" s="43">
        <f t="shared" si="51"/>
        <v>516.8949047764081</v>
      </c>
      <c r="C496" s="43">
        <f t="shared" si="52"/>
        <v>512.6056793172573</v>
      </c>
      <c r="D496" s="43">
        <f t="shared" si="53"/>
        <v>492.0445701388632</v>
      </c>
      <c r="E496" s="43">
        <f t="shared" si="54"/>
        <v>478.76200845478564</v>
      </c>
      <c r="F496" s="43">
        <f t="shared" si="55"/>
        <v>532.6727454419276</v>
      </c>
      <c r="G496" s="43">
        <f t="shared" si="56"/>
        <v>264.1400789657343</v>
      </c>
    </row>
    <row r="497" spans="1:7" ht="12.75">
      <c r="A497" s="15">
        <v>37894</v>
      </c>
      <c r="B497" s="43">
        <f t="shared" si="51"/>
        <v>523.1349634458498</v>
      </c>
      <c r="C497" s="43">
        <f t="shared" si="52"/>
        <v>524.0650548056061</v>
      </c>
      <c r="D497" s="43">
        <f t="shared" si="53"/>
        <v>509.5440079167171</v>
      </c>
      <c r="E497" s="43">
        <f t="shared" si="54"/>
        <v>489.009298753909</v>
      </c>
      <c r="F497" s="43">
        <f t="shared" si="55"/>
        <v>542.2599494328027</v>
      </c>
      <c r="G497" s="43">
        <f t="shared" si="56"/>
        <v>269.5055153800839</v>
      </c>
    </row>
    <row r="498" spans="1:7" ht="12.75">
      <c r="A498" s="15">
        <v>37925</v>
      </c>
      <c r="B498" s="43">
        <f t="shared" si="51"/>
        <v>528.5835710306275</v>
      </c>
      <c r="C498" s="43">
        <f t="shared" si="52"/>
        <v>527.410494936244</v>
      </c>
      <c r="D498" s="43">
        <f t="shared" si="53"/>
        <v>514.6130775211981</v>
      </c>
      <c r="E498" s="43">
        <f t="shared" si="54"/>
        <v>491.99809976277504</v>
      </c>
      <c r="F498" s="43">
        <f t="shared" si="55"/>
        <v>546.6478284507092</v>
      </c>
      <c r="G498" s="43">
        <f t="shared" si="56"/>
        <v>271.57293165924176</v>
      </c>
    </row>
    <row r="499" spans="1:7" ht="12.75">
      <c r="A499" s="15">
        <v>37955</v>
      </c>
      <c r="B499" s="43">
        <f t="shared" si="51"/>
        <v>533.4071604080674</v>
      </c>
      <c r="C499" s="43">
        <f t="shared" si="52"/>
        <v>530.5681459389451</v>
      </c>
      <c r="D499" s="43">
        <f t="shared" si="53"/>
        <v>513.7904350073286</v>
      </c>
      <c r="E499" s="43">
        <f t="shared" si="54"/>
        <v>494.8183692509677</v>
      </c>
      <c r="F499" s="43">
        <f t="shared" si="55"/>
        <v>550.4163311687115</v>
      </c>
      <c r="G499" s="43">
        <f t="shared" si="56"/>
        <v>273.3737901117171</v>
      </c>
    </row>
    <row r="500" spans="1:7" ht="12.75">
      <c r="A500" s="15">
        <v>37986</v>
      </c>
      <c r="B500" s="43">
        <f t="shared" si="51"/>
        <v>540.5460151393887</v>
      </c>
      <c r="C500" s="43">
        <f t="shared" si="52"/>
        <v>543.1661213150285</v>
      </c>
      <c r="D500" s="43">
        <f t="shared" si="53"/>
        <v>531.5823432045613</v>
      </c>
      <c r="E500" s="43">
        <f t="shared" si="54"/>
        <v>506.067454791271</v>
      </c>
      <c r="F500" s="43">
        <f t="shared" si="55"/>
        <v>561.0693495581852</v>
      </c>
      <c r="G500" s="43">
        <f t="shared" si="56"/>
        <v>279.38382300302567</v>
      </c>
    </row>
    <row r="501" spans="1:7" ht="12.75">
      <c r="A501" s="15">
        <v>38017</v>
      </c>
      <c r="B501" s="43">
        <f t="shared" si="51"/>
        <v>544.7386521966143</v>
      </c>
      <c r="C501" s="43">
        <f t="shared" si="52"/>
        <v>539.9418176239183</v>
      </c>
      <c r="D501" s="43">
        <f t="shared" si="53"/>
        <v>523.623279912941</v>
      </c>
      <c r="E501" s="43">
        <f t="shared" si="54"/>
        <v>503.191225545115</v>
      </c>
      <c r="F501" s="43">
        <f t="shared" si="55"/>
        <v>559.9583814055287</v>
      </c>
      <c r="G501" s="43">
        <f t="shared" si="56"/>
        <v>278.5251657490789</v>
      </c>
    </row>
    <row r="502" spans="1:7" ht="12.75">
      <c r="A502" s="15">
        <v>38046</v>
      </c>
      <c r="B502" s="43">
        <f t="shared" si="51"/>
        <v>550.3982144236111</v>
      </c>
      <c r="C502" s="43">
        <f t="shared" si="52"/>
        <v>549.011087704487</v>
      </c>
      <c r="D502" s="43">
        <f t="shared" si="53"/>
        <v>530.646335459339</v>
      </c>
      <c r="E502" s="43">
        <f t="shared" si="54"/>
        <v>511.2834934718548</v>
      </c>
      <c r="F502" s="43">
        <f t="shared" si="55"/>
        <v>567.8437288605692</v>
      </c>
      <c r="G502" s="43">
        <f t="shared" si="56"/>
        <v>282.4676817079617</v>
      </c>
    </row>
    <row r="503" spans="1:7" ht="12.75">
      <c r="A503" s="15">
        <v>38077</v>
      </c>
      <c r="B503" s="43">
        <f t="shared" si="51"/>
        <v>559.4204520340859</v>
      </c>
      <c r="C503" s="43">
        <f t="shared" si="52"/>
        <v>566.0295071199689</v>
      </c>
      <c r="D503" s="43">
        <f t="shared" si="53"/>
        <v>560.1853432242733</v>
      </c>
      <c r="E503" s="43">
        <f t="shared" si="54"/>
        <v>526.4578995502933</v>
      </c>
      <c r="F503" s="43">
        <f t="shared" si="55"/>
        <v>584.5208769900973</v>
      </c>
      <c r="G503" s="43">
        <f t="shared" si="56"/>
        <v>289.3996517443958</v>
      </c>
    </row>
    <row r="504" spans="1:7" ht="12.75">
      <c r="A504" s="15">
        <v>38107</v>
      </c>
      <c r="B504" s="43">
        <f t="shared" si="51"/>
        <v>566.00153017386</v>
      </c>
      <c r="C504" s="43">
        <f t="shared" si="52"/>
        <v>566.3140726305342</v>
      </c>
      <c r="D504" s="43">
        <f t="shared" si="53"/>
        <v>559.2377812452419</v>
      </c>
      <c r="E504" s="43">
        <f t="shared" si="54"/>
        <v>526.7113065811237</v>
      </c>
      <c r="F504" s="43">
        <f t="shared" si="55"/>
        <v>587.6037200661306</v>
      </c>
      <c r="G504" s="43">
        <f t="shared" si="56"/>
        <v>291.0093321132556</v>
      </c>
    </row>
    <row r="505" spans="1:7" ht="12.75">
      <c r="A505" s="15">
        <v>38138</v>
      </c>
      <c r="B505" s="43">
        <f t="shared" si="51"/>
        <v>575.0797419166246</v>
      </c>
      <c r="C505" s="43">
        <f t="shared" si="52"/>
        <v>581.2883343075033</v>
      </c>
      <c r="D505" s="43">
        <f t="shared" si="53"/>
        <v>576.23224982133</v>
      </c>
      <c r="E505" s="43">
        <f t="shared" si="54"/>
        <v>540.0456774034493</v>
      </c>
      <c r="F505" s="43">
        <f t="shared" si="55"/>
        <v>602.4591706611479</v>
      </c>
      <c r="G505" s="43">
        <f t="shared" si="56"/>
        <v>297.3855678676264</v>
      </c>
    </row>
    <row r="506" spans="1:7" ht="12.75">
      <c r="A506" s="15">
        <v>38168</v>
      </c>
      <c r="B506" s="43">
        <f t="shared" si="51"/>
        <v>586.9837200503762</v>
      </c>
      <c r="C506" s="43">
        <f t="shared" si="52"/>
        <v>599.9127531550197</v>
      </c>
      <c r="D506" s="43">
        <f t="shared" si="53"/>
        <v>608.4229282328682</v>
      </c>
      <c r="E506" s="43">
        <f t="shared" si="54"/>
        <v>556.6122794426033</v>
      </c>
      <c r="F506" s="43">
        <f t="shared" si="55"/>
        <v>625.1048860818526</v>
      </c>
      <c r="G506" s="43">
        <f t="shared" si="56"/>
        <v>305.5742532833633</v>
      </c>
    </row>
    <row r="507" spans="1:7" ht="12.75">
      <c r="A507" s="15">
        <v>38199</v>
      </c>
      <c r="B507" s="43">
        <f t="shared" si="51"/>
        <v>595.0519873775846</v>
      </c>
      <c r="C507" s="43">
        <f t="shared" si="52"/>
        <v>598.0071015936647</v>
      </c>
      <c r="D507" s="43">
        <f t="shared" si="53"/>
        <v>598.928823693235</v>
      </c>
      <c r="E507" s="43">
        <f t="shared" si="54"/>
        <v>554.9194234838398</v>
      </c>
      <c r="F507" s="43">
        <f t="shared" si="55"/>
        <v>627.6010406000158</v>
      </c>
      <c r="G507" s="43">
        <f t="shared" si="56"/>
        <v>305.19191283904223</v>
      </c>
    </row>
    <row r="508" spans="1:7" ht="12.75">
      <c r="A508" s="15">
        <v>38230</v>
      </c>
      <c r="B508" s="43">
        <f t="shared" si="51"/>
        <v>602.3942743446379</v>
      </c>
      <c r="C508" s="43">
        <f t="shared" si="52"/>
        <v>603.3393911469846</v>
      </c>
      <c r="D508" s="43">
        <f t="shared" si="53"/>
        <v>592.8578612009411</v>
      </c>
      <c r="E508" s="43">
        <f t="shared" si="54"/>
        <v>559.6569224935322</v>
      </c>
      <c r="F508" s="43">
        <f t="shared" si="55"/>
        <v>634.1071997111246</v>
      </c>
      <c r="G508" s="43">
        <f t="shared" si="56"/>
        <v>308.1133670229877</v>
      </c>
    </row>
    <row r="509" spans="1:7" ht="12.75">
      <c r="A509" s="15">
        <v>38260</v>
      </c>
      <c r="B509" s="43">
        <f t="shared" si="51"/>
        <v>612.4089586767626</v>
      </c>
      <c r="C509" s="43">
        <f t="shared" si="52"/>
        <v>619.6618330518018</v>
      </c>
      <c r="D509" s="43">
        <f t="shared" si="53"/>
        <v>615.257642799972</v>
      </c>
      <c r="E509" s="43">
        <f t="shared" si="54"/>
        <v>574.1532220115168</v>
      </c>
      <c r="F509" s="43">
        <f t="shared" si="55"/>
        <v>650.5244622786054</v>
      </c>
      <c r="G509" s="43">
        <f t="shared" si="56"/>
        <v>315.7934960291759</v>
      </c>
    </row>
    <row r="510" spans="1:7" ht="12.75">
      <c r="A510" s="15">
        <v>38291</v>
      </c>
      <c r="B510" s="43">
        <f t="shared" si="51"/>
        <v>620.3466361537556</v>
      </c>
      <c r="C510" s="43">
        <f t="shared" si="52"/>
        <v>622.1698545126304</v>
      </c>
      <c r="D510" s="43">
        <f t="shared" si="53"/>
        <v>616.079257882998</v>
      </c>
      <c r="E510" s="43">
        <f t="shared" si="54"/>
        <v>576.3781508755252</v>
      </c>
      <c r="F510" s="43">
        <f t="shared" si="55"/>
        <v>655.6143160430167</v>
      </c>
      <c r="G510" s="43">
        <f t="shared" si="56"/>
        <v>317.74282316412547</v>
      </c>
    </row>
    <row r="511" spans="1:7" ht="12.75">
      <c r="A511" s="15">
        <v>38321</v>
      </c>
      <c r="B511" s="43">
        <f t="shared" si="51"/>
        <v>630.036512645141</v>
      </c>
      <c r="C511" s="43">
        <f t="shared" si="52"/>
        <v>635.913214812177</v>
      </c>
      <c r="D511" s="43">
        <f t="shared" si="53"/>
        <v>630.1871955057949</v>
      </c>
      <c r="E511" s="43">
        <f t="shared" si="54"/>
        <v>588.5681394818004</v>
      </c>
      <c r="F511" s="43">
        <f t="shared" si="55"/>
        <v>669.6233932762161</v>
      </c>
      <c r="G511" s="43">
        <f t="shared" si="56"/>
        <v>324.1858415442585</v>
      </c>
    </row>
    <row r="512" spans="1:7" ht="12.75">
      <c r="A512" s="15">
        <v>38352</v>
      </c>
      <c r="B512" s="43">
        <f t="shared" si="51"/>
        <v>642.6816604721854</v>
      </c>
      <c r="C512" s="43">
        <f t="shared" si="52"/>
        <v>655.5625963597897</v>
      </c>
      <c r="D512" s="43">
        <f t="shared" si="53"/>
        <v>662.1173830718276</v>
      </c>
      <c r="E512" s="43">
        <f t="shared" si="54"/>
        <v>605.9805784660617</v>
      </c>
      <c r="F512" s="43">
        <f t="shared" si="55"/>
        <v>693.8625678797952</v>
      </c>
      <c r="G512" s="43">
        <f t="shared" si="56"/>
        <v>333.1770114723241</v>
      </c>
    </row>
    <row r="513" spans="1:7" ht="12.75">
      <c r="A513" s="15">
        <v>38383</v>
      </c>
      <c r="B513" s="43">
        <f t="shared" si="51"/>
        <v>648.34182212413</v>
      </c>
      <c r="C513" s="43">
        <f t="shared" si="52"/>
        <v>643.3693578585583</v>
      </c>
      <c r="D513" s="43">
        <f t="shared" si="53"/>
        <v>632.1789576536254</v>
      </c>
      <c r="E513" s="43">
        <f t="shared" si="54"/>
        <v>595.1892371144934</v>
      </c>
      <c r="F513" s="43">
        <f t="shared" si="55"/>
        <v>686.451245993995</v>
      </c>
      <c r="G513" s="43">
        <f t="shared" si="56"/>
        <v>328.9881414422448</v>
      </c>
    </row>
    <row r="514" spans="1:7" ht="12.75">
      <c r="A514" s="15">
        <v>38411</v>
      </c>
      <c r="B514" s="43">
        <f t="shared" si="51"/>
        <v>655.0667476741124</v>
      </c>
      <c r="C514" s="43">
        <f t="shared" si="52"/>
        <v>652.4933143775077</v>
      </c>
      <c r="D514" s="43">
        <f t="shared" si="53"/>
        <v>629.3881049848576</v>
      </c>
      <c r="E514" s="43">
        <f t="shared" si="54"/>
        <v>603.2706952286526</v>
      </c>
      <c r="F514" s="43">
        <f t="shared" si="55"/>
        <v>695.0783271695209</v>
      </c>
      <c r="G514" s="43">
        <f t="shared" si="56"/>
        <v>333.0272972752386</v>
      </c>
    </row>
    <row r="515" spans="1:7" ht="12.75">
      <c r="A515" s="15">
        <v>38442</v>
      </c>
      <c r="B515" s="43">
        <f t="shared" si="51"/>
        <v>659.8425773047053</v>
      </c>
      <c r="C515" s="43">
        <f t="shared" si="52"/>
        <v>652.3572974976915</v>
      </c>
      <c r="D515" s="43">
        <f t="shared" si="53"/>
        <v>625.131495356067</v>
      </c>
      <c r="E515" s="43">
        <f t="shared" si="54"/>
        <v>603.150291262192</v>
      </c>
      <c r="F515" s="43">
        <f t="shared" si="55"/>
        <v>696.4394170800564</v>
      </c>
      <c r="G515" s="43">
        <f t="shared" si="56"/>
        <v>334.29843647649875</v>
      </c>
    </row>
    <row r="516" spans="1:7" ht="12.75">
      <c r="A516" s="15">
        <v>38472</v>
      </c>
      <c r="B516" s="43">
        <f t="shared" si="51"/>
        <v>668.477211287057</v>
      </c>
      <c r="C516" s="43">
        <f t="shared" si="52"/>
        <v>670.0931693842348</v>
      </c>
      <c r="D516" s="43">
        <f t="shared" si="53"/>
        <v>649.651207468092</v>
      </c>
      <c r="E516" s="43">
        <f t="shared" si="54"/>
        <v>618.8504622711645</v>
      </c>
      <c r="F516" s="43">
        <f t="shared" si="55"/>
        <v>711.2127234155504</v>
      </c>
      <c r="G516" s="43">
        <f t="shared" si="56"/>
        <v>340.6816124923171</v>
      </c>
    </row>
    <row r="517" spans="1:7" ht="12.75">
      <c r="A517" s="15">
        <v>38503</v>
      </c>
      <c r="B517" s="43">
        <f t="shared" si="51"/>
        <v>678.1040853022441</v>
      </c>
      <c r="C517" s="43">
        <f t="shared" si="52"/>
        <v>681.8879241642819</v>
      </c>
      <c r="D517" s="43">
        <f t="shared" si="53"/>
        <v>671.6980488878253</v>
      </c>
      <c r="E517" s="43">
        <f t="shared" si="54"/>
        <v>629.2796687953668</v>
      </c>
      <c r="F517" s="43">
        <f t="shared" si="55"/>
        <v>723.4773787958101</v>
      </c>
      <c r="G517" s="43">
        <f t="shared" si="56"/>
        <v>345.98979512490195</v>
      </c>
    </row>
    <row r="518" spans="1:7" ht="12.75">
      <c r="A518" s="15">
        <v>38533</v>
      </c>
      <c r="B518" s="43">
        <f t="shared" si="51"/>
        <v>689.4783319874699</v>
      </c>
      <c r="C518" s="43">
        <f t="shared" si="52"/>
        <v>697.2619470949895</v>
      </c>
      <c r="D518" s="43">
        <f t="shared" si="53"/>
        <v>693.7772040986155</v>
      </c>
      <c r="E518" s="43">
        <f t="shared" si="54"/>
        <v>642.8637430978819</v>
      </c>
      <c r="F518" s="43">
        <f t="shared" si="55"/>
        <v>739.3232843327958</v>
      </c>
      <c r="G518" s="43">
        <f t="shared" si="56"/>
        <v>352.5403776353297</v>
      </c>
    </row>
    <row r="519" spans="1:7" ht="12.75">
      <c r="A519" s="15">
        <v>38564</v>
      </c>
      <c r="B519" s="43">
        <f t="shared" si="51"/>
        <v>697.9465738087732</v>
      </c>
      <c r="C519" s="43">
        <f t="shared" si="52"/>
        <v>698.2054280788187</v>
      </c>
      <c r="D519" s="43">
        <f t="shared" si="53"/>
        <v>688.2208536371742</v>
      </c>
      <c r="E519" s="43">
        <f t="shared" si="54"/>
        <v>643.6965953077386</v>
      </c>
      <c r="F519" s="43">
        <f t="shared" si="55"/>
        <v>743.7471659431565</v>
      </c>
      <c r="G519" s="43">
        <f t="shared" si="56"/>
        <v>355.31690301409856</v>
      </c>
    </row>
    <row r="520" spans="1:7" ht="12.75">
      <c r="A520" s="15">
        <v>38595</v>
      </c>
      <c r="B520" s="43">
        <f t="shared" si="51"/>
        <v>707.6020365055011</v>
      </c>
      <c r="C520" s="43">
        <f t="shared" si="52"/>
        <v>710.5011859834756</v>
      </c>
      <c r="D520" s="43">
        <f t="shared" si="53"/>
        <v>697.2744827117848</v>
      </c>
      <c r="E520" s="43">
        <f t="shared" si="54"/>
        <v>654.5499780266028</v>
      </c>
      <c r="F520" s="43">
        <f t="shared" si="55"/>
        <v>755.6549019851587</v>
      </c>
      <c r="G520" s="43">
        <f t="shared" si="56"/>
        <v>360.76991092618243</v>
      </c>
    </row>
    <row r="521" spans="1:7" ht="12.75">
      <c r="A521" s="15">
        <v>38625</v>
      </c>
      <c r="B521" s="43">
        <f t="shared" si="51"/>
        <v>719.9335587160898</v>
      </c>
      <c r="C521" s="43">
        <f t="shared" si="52"/>
        <v>729.0951004226545</v>
      </c>
      <c r="D521" s="43">
        <f t="shared" si="53"/>
        <v>725.7826488174543</v>
      </c>
      <c r="E521" s="43">
        <f t="shared" si="54"/>
        <v>670.9506127652672</v>
      </c>
      <c r="F521" s="43">
        <f t="shared" si="55"/>
        <v>774.6936384042212</v>
      </c>
      <c r="G521" s="43">
        <f t="shared" si="56"/>
        <v>368.31805948012766</v>
      </c>
    </row>
    <row r="522" spans="1:7" ht="12.75">
      <c r="A522" s="15">
        <v>38656</v>
      </c>
      <c r="B522" s="43">
        <f t="shared" si="51"/>
        <v>729.0210640476955</v>
      </c>
      <c r="C522" s="43">
        <f t="shared" si="52"/>
        <v>729.7746994729781</v>
      </c>
      <c r="D522" s="43">
        <f t="shared" si="53"/>
        <v>720.795208842851</v>
      </c>
      <c r="E522" s="43">
        <f t="shared" si="54"/>
        <v>671.5493978312529</v>
      </c>
      <c r="F522" s="43">
        <f t="shared" si="55"/>
        <v>779.2529985837814</v>
      </c>
      <c r="G522" s="43">
        <f t="shared" si="56"/>
        <v>371.20025207002556</v>
      </c>
    </row>
    <row r="523" spans="1:7" ht="12.75">
      <c r="A523" s="15">
        <v>38686</v>
      </c>
      <c r="B523" s="43">
        <f t="shared" si="51"/>
        <v>743.5366753560556</v>
      </c>
      <c r="C523" s="43">
        <f t="shared" si="52"/>
        <v>757.2475467211314</v>
      </c>
      <c r="D523" s="43">
        <f t="shared" si="53"/>
        <v>757.4387335349572</v>
      </c>
      <c r="E523" s="43">
        <f t="shared" si="54"/>
        <v>695.7543737860848</v>
      </c>
      <c r="F523" s="43">
        <f t="shared" si="55"/>
        <v>815.3506419001126</v>
      </c>
      <c r="G523" s="43">
        <f t="shared" si="56"/>
        <v>381.15665948229514</v>
      </c>
    </row>
    <row r="524" spans="1:7" ht="12.75">
      <c r="A524" s="15">
        <v>38717</v>
      </c>
      <c r="B524" s="43">
        <f t="shared" si="51"/>
        <v>763.6732099517158</v>
      </c>
      <c r="C524" s="43">
        <f t="shared" si="52"/>
        <v>790.9685307686815</v>
      </c>
      <c r="D524" s="43">
        <f t="shared" si="53"/>
        <v>820.0611914754172</v>
      </c>
      <c r="E524" s="43">
        <f t="shared" si="54"/>
        <v>725.4184024930007</v>
      </c>
      <c r="F524" s="43">
        <f t="shared" si="55"/>
        <v>858.6204442799924</v>
      </c>
      <c r="G524" s="43">
        <f t="shared" si="56"/>
        <v>393.779203892474</v>
      </c>
    </row>
    <row r="525" spans="3:4" ht="12.75">
      <c r="C525" s="5"/>
      <c r="D525" s="5"/>
    </row>
    <row r="526" spans="1:7" ht="26.25" customHeight="1" thickBot="1">
      <c r="A526" s="117" t="s">
        <v>106</v>
      </c>
      <c r="B526" s="118"/>
      <c r="C526" s="118"/>
      <c r="D526" s="118"/>
      <c r="E526" s="35"/>
      <c r="F526" s="35"/>
      <c r="G526" s="35"/>
    </row>
    <row r="527" spans="2:7" ht="36" customHeight="1">
      <c r="B527" s="57" t="s">
        <v>99</v>
      </c>
      <c r="C527" s="36" t="s">
        <v>58</v>
      </c>
      <c r="D527" s="36" t="str">
        <f>+D3</f>
        <v>Lags 1-n Method</v>
      </c>
      <c r="E527" s="36" t="s">
        <v>4</v>
      </c>
      <c r="F527" s="36" t="s">
        <v>5</v>
      </c>
      <c r="G527" s="36" t="s">
        <v>62</v>
      </c>
    </row>
    <row r="528" spans="2:7" ht="12.75">
      <c r="B528" s="43"/>
      <c r="C528" s="43"/>
      <c r="D528" s="43"/>
      <c r="E528" s="43"/>
      <c r="F528" s="43"/>
      <c r="G528" s="38"/>
    </row>
    <row r="529" spans="1:7" ht="12.75">
      <c r="A529" s="15">
        <v>31777</v>
      </c>
      <c r="B529" s="43">
        <f aca="true" t="shared" si="57" ref="B529:G529">+B296</f>
        <v>100</v>
      </c>
      <c r="C529" s="43">
        <f t="shared" si="57"/>
        <v>100</v>
      </c>
      <c r="D529" s="43">
        <f t="shared" si="57"/>
        <v>100</v>
      </c>
      <c r="E529" s="43">
        <f t="shared" si="57"/>
        <v>100</v>
      </c>
      <c r="F529" s="43">
        <f t="shared" si="57"/>
        <v>100</v>
      </c>
      <c r="G529" s="43">
        <f t="shared" si="57"/>
        <v>100</v>
      </c>
    </row>
    <row r="530" spans="1:7" ht="12.75">
      <c r="A530" s="15">
        <v>32142</v>
      </c>
      <c r="B530" s="43">
        <f aca="true" t="shared" si="58" ref="B530:G530">+B308</f>
        <v>117.04717408934556</v>
      </c>
      <c r="C530" s="43">
        <f t="shared" si="58"/>
        <v>120.1294501862892</v>
      </c>
      <c r="D530" s="43">
        <f t="shared" si="58"/>
        <v>124.82993735918207</v>
      </c>
      <c r="E530" s="43">
        <f t="shared" si="58"/>
        <v>119.241960610294</v>
      </c>
      <c r="F530" s="43">
        <f t="shared" si="58"/>
        <v>123.84438353699579</v>
      </c>
      <c r="G530" s="43">
        <f t="shared" si="58"/>
        <v>100</v>
      </c>
    </row>
    <row r="531" spans="1:7" ht="12.75">
      <c r="A531" s="15">
        <v>32508</v>
      </c>
      <c r="B531" s="43">
        <f aca="true" t="shared" si="59" ref="B531:G531">+B320</f>
        <v>153.5959252325842</v>
      </c>
      <c r="C531" s="43">
        <f t="shared" si="59"/>
        <v>159.8669849192239</v>
      </c>
      <c r="D531" s="43">
        <f t="shared" si="59"/>
        <v>171.5086038983614</v>
      </c>
      <c r="E531" s="43">
        <f t="shared" si="59"/>
        <v>156.79796070025466</v>
      </c>
      <c r="F531" s="43">
        <f t="shared" si="59"/>
        <v>169.51995174727517</v>
      </c>
      <c r="G531" s="43">
        <f t="shared" si="59"/>
        <v>100</v>
      </c>
    </row>
    <row r="532" spans="1:7" ht="12.75">
      <c r="A532" s="15">
        <v>32873</v>
      </c>
      <c r="B532" s="43">
        <f aca="true" t="shared" si="60" ref="B532:G532">+B332</f>
        <v>179.26216635644238</v>
      </c>
      <c r="C532" s="43">
        <f t="shared" si="60"/>
        <v>176.79993167881477</v>
      </c>
      <c r="D532" s="43">
        <f t="shared" si="60"/>
        <v>169.4372375590806</v>
      </c>
      <c r="E532" s="43">
        <f t="shared" si="60"/>
        <v>172.67176783005633</v>
      </c>
      <c r="F532" s="43">
        <f t="shared" si="60"/>
        <v>188.97301091401792</v>
      </c>
      <c r="G532" s="43">
        <f t="shared" si="60"/>
        <v>100</v>
      </c>
    </row>
    <row r="533" spans="1:7" ht="12.75">
      <c r="A533" s="15">
        <v>33238</v>
      </c>
      <c r="B533" s="43">
        <f aca="true" t="shared" si="61" ref="B533:G533">+B344</f>
        <v>167.78553992057965</v>
      </c>
      <c r="C533" s="43">
        <f t="shared" si="61"/>
        <v>161.12979002248457</v>
      </c>
      <c r="D533" s="43">
        <f t="shared" si="61"/>
        <v>146.27897894810363</v>
      </c>
      <c r="E533" s="43">
        <f t="shared" si="61"/>
        <v>158.0065802327196</v>
      </c>
      <c r="F533" s="43">
        <f t="shared" si="61"/>
        <v>166.84950816129813</v>
      </c>
      <c r="G533" s="43">
        <f t="shared" si="61"/>
        <v>88.22000000907525</v>
      </c>
    </row>
    <row r="534" spans="1:7" ht="12.75">
      <c r="A534" s="15">
        <v>33603</v>
      </c>
      <c r="B534" s="43">
        <f aca="true" t="shared" si="62" ref="B534:G534">+B356</f>
        <v>166.5343045323143</v>
      </c>
      <c r="C534" s="43">
        <f t="shared" si="62"/>
        <v>164.15085143362845</v>
      </c>
      <c r="D534" s="43">
        <f t="shared" si="62"/>
        <v>157.41333812272924</v>
      </c>
      <c r="E534" s="43">
        <f t="shared" si="62"/>
        <v>160.84493140797693</v>
      </c>
      <c r="F534" s="43">
        <f t="shared" si="62"/>
        <v>174.19110723706495</v>
      </c>
      <c r="G534" s="43">
        <f t="shared" si="62"/>
        <v>100.90678148196037</v>
      </c>
    </row>
    <row r="535" spans="1:7" ht="12.75">
      <c r="A535" s="15">
        <v>33969</v>
      </c>
      <c r="B535" s="43">
        <f aca="true" t="shared" si="63" ref="B535:G535">+B368</f>
        <v>166.395815472553</v>
      </c>
      <c r="C535" s="43">
        <f t="shared" si="63"/>
        <v>162.61776363503188</v>
      </c>
      <c r="D535" s="43">
        <f t="shared" si="63"/>
        <v>152.62709413878443</v>
      </c>
      <c r="E535" s="43">
        <f t="shared" si="63"/>
        <v>159.4097044849225</v>
      </c>
      <c r="F535" s="43">
        <f t="shared" si="63"/>
        <v>170.25134433221692</v>
      </c>
      <c r="G535" s="43">
        <f t="shared" si="63"/>
        <v>97.99803316751884</v>
      </c>
    </row>
    <row r="536" spans="1:7" ht="12.75">
      <c r="A536" s="15">
        <v>34334</v>
      </c>
      <c r="B536" s="43">
        <f aca="true" t="shared" si="64" ref="B536:G536">+B380</f>
        <v>193.5024437119144</v>
      </c>
      <c r="C536" s="43">
        <f t="shared" si="64"/>
        <v>206.07799907947626</v>
      </c>
      <c r="D536" s="43">
        <f t="shared" si="64"/>
        <v>228.1670391432677</v>
      </c>
      <c r="E536" s="43">
        <f t="shared" si="64"/>
        <v>200.01926701551713</v>
      </c>
      <c r="F536" s="43">
        <f t="shared" si="64"/>
        <v>220.29622528322497</v>
      </c>
      <c r="G536" s="43">
        <f t="shared" si="64"/>
        <v>137.5814831391497</v>
      </c>
    </row>
    <row r="537" spans="1:7" ht="12.75">
      <c r="A537" s="15">
        <v>34699</v>
      </c>
      <c r="B537" s="43">
        <f aca="true" t="shared" si="65" ref="B537:G537">+B392</f>
        <v>223.02458501464002</v>
      </c>
      <c r="C537" s="43">
        <f t="shared" si="65"/>
        <v>218.94214613964988</v>
      </c>
      <c r="D537" s="43">
        <f t="shared" si="65"/>
        <v>206.00600855881228</v>
      </c>
      <c r="E537" s="43">
        <f t="shared" si="65"/>
        <v>211.97708862319757</v>
      </c>
      <c r="F537" s="43">
        <f t="shared" si="65"/>
        <v>235.19528764022598</v>
      </c>
      <c r="G537" s="43">
        <f t="shared" si="65"/>
        <v>111.19057419708703</v>
      </c>
    </row>
    <row r="538" spans="1:7" ht="12.75">
      <c r="A538" s="15">
        <v>35064</v>
      </c>
      <c r="B538" s="43">
        <f aca="true" t="shared" si="66" ref="B538:G538">+B404</f>
        <v>230.16122129580324</v>
      </c>
      <c r="C538" s="43">
        <f t="shared" si="66"/>
        <v>225.70472291247984</v>
      </c>
      <c r="D538" s="43">
        <f t="shared" si="66"/>
        <v>211.65215751543707</v>
      </c>
      <c r="E538" s="43">
        <f t="shared" si="66"/>
        <v>218.2435228785699</v>
      </c>
      <c r="F538" s="43">
        <f t="shared" si="66"/>
        <v>239.6992232859913</v>
      </c>
      <c r="G538" s="43">
        <f t="shared" si="66"/>
        <v>114.46448639894554</v>
      </c>
    </row>
    <row r="539" spans="1:7" ht="12.75">
      <c r="A539" s="15">
        <v>35430</v>
      </c>
      <c r="B539" s="43">
        <f aca="true" t="shared" si="67" ref="B539:G539">+B416</f>
        <v>251.68305584731695</v>
      </c>
      <c r="C539" s="43">
        <f t="shared" si="67"/>
        <v>252.06022133821526</v>
      </c>
      <c r="D539" s="43">
        <f t="shared" si="67"/>
        <v>247.08656809947428</v>
      </c>
      <c r="E539" s="43">
        <f t="shared" si="67"/>
        <v>242.59303330832657</v>
      </c>
      <c r="F539" s="43">
        <f t="shared" si="67"/>
        <v>264.49823873979403</v>
      </c>
      <c r="G539" s="43">
        <f t="shared" si="67"/>
        <v>131.0099488592042</v>
      </c>
    </row>
    <row r="540" spans="1:7" ht="12.75">
      <c r="A540" s="15">
        <v>35795</v>
      </c>
      <c r="B540" s="43">
        <f aca="true" t="shared" si="68" ref="B540:G540">+B428</f>
        <v>290.5149206502752</v>
      </c>
      <c r="C540" s="43">
        <f t="shared" si="68"/>
        <v>293.61272726694233</v>
      </c>
      <c r="D540" s="43">
        <f t="shared" si="68"/>
        <v>293.8274364816121</v>
      </c>
      <c r="E540" s="43">
        <f t="shared" si="68"/>
        <v>280.7706011810396</v>
      </c>
      <c r="F540" s="43">
        <f t="shared" si="68"/>
        <v>306.6827931993783</v>
      </c>
      <c r="G540" s="43">
        <f t="shared" si="68"/>
        <v>153.50731767997482</v>
      </c>
    </row>
    <row r="541" spans="1:7" ht="12.75">
      <c r="A541" s="15">
        <v>36160</v>
      </c>
      <c r="B541" s="43">
        <f aca="true" t="shared" si="69" ref="B541:G541">+B440</f>
        <v>325.81498506489754</v>
      </c>
      <c r="C541" s="43">
        <f t="shared" si="69"/>
        <v>322.9916251688729</v>
      </c>
      <c r="D541" s="43">
        <f t="shared" si="69"/>
        <v>307.2530853950915</v>
      </c>
      <c r="E541" s="43">
        <f t="shared" si="69"/>
        <v>307.6224765624533</v>
      </c>
      <c r="F541" s="43">
        <f t="shared" si="69"/>
        <v>338.44889351809013</v>
      </c>
      <c r="G541" s="43">
        <f t="shared" si="69"/>
        <v>164.9291839328863</v>
      </c>
    </row>
    <row r="542" spans="1:7" ht="12.75">
      <c r="A542" s="15">
        <v>36525</v>
      </c>
      <c r="B542" s="43">
        <f aca="true" t="shared" si="70" ref="B542:G542">+B452</f>
        <v>371.8615047149862</v>
      </c>
      <c r="C542" s="43">
        <f t="shared" si="70"/>
        <v>373.97099323547855</v>
      </c>
      <c r="D542" s="43">
        <f t="shared" si="70"/>
        <v>370.4048998796726</v>
      </c>
      <c r="E542" s="43">
        <f t="shared" si="70"/>
        <v>353.97746359677836</v>
      </c>
      <c r="F542" s="43">
        <f t="shared" si="70"/>
        <v>389.7709701754213</v>
      </c>
      <c r="G542" s="43">
        <f t="shared" si="70"/>
        <v>190.25532031065555</v>
      </c>
    </row>
    <row r="543" spans="1:7" ht="12.75">
      <c r="A543" s="15">
        <v>36891</v>
      </c>
      <c r="B543" s="43">
        <f aca="true" t="shared" si="71" ref="B543:G543">+B464</f>
        <v>410.94299369997066</v>
      </c>
      <c r="C543" s="43">
        <f t="shared" si="71"/>
        <v>405.82306233470285</v>
      </c>
      <c r="D543" s="43">
        <f t="shared" si="71"/>
        <v>386.8111666588285</v>
      </c>
      <c r="E543" s="43">
        <f t="shared" si="71"/>
        <v>382.79832324192597</v>
      </c>
      <c r="F543" s="43">
        <f t="shared" si="71"/>
        <v>424.6135989926459</v>
      </c>
      <c r="G543" s="43">
        <f t="shared" si="71"/>
        <v>207.1358774246309</v>
      </c>
    </row>
    <row r="544" spans="1:7" ht="12.75">
      <c r="A544" s="15">
        <v>37256</v>
      </c>
      <c r="B544" s="43">
        <f aca="true" t="shared" si="72" ref="B544:G544">+B476</f>
        <v>439.96497663365597</v>
      </c>
      <c r="C544" s="43">
        <f t="shared" si="72"/>
        <v>435.69128447550787</v>
      </c>
      <c r="D544" s="43">
        <f t="shared" si="72"/>
        <v>416.2506429111908</v>
      </c>
      <c r="E544" s="43">
        <f t="shared" si="72"/>
        <v>409.7356760816489</v>
      </c>
      <c r="F544" s="43">
        <f t="shared" si="72"/>
        <v>454.65094791856865</v>
      </c>
      <c r="G544" s="43">
        <f t="shared" si="72"/>
        <v>223.31194099500033</v>
      </c>
    </row>
    <row r="545" spans="1:7" ht="12.75">
      <c r="A545" s="15">
        <v>37621</v>
      </c>
      <c r="B545" s="43">
        <f aca="true" t="shared" si="73" ref="B545:G545">+B488</f>
        <v>485.93905877054556</v>
      </c>
      <c r="C545" s="43">
        <f t="shared" si="73"/>
        <v>482.5218203936841</v>
      </c>
      <c r="D545" s="43">
        <f t="shared" si="73"/>
        <v>464.0331285104157</v>
      </c>
      <c r="E545" s="43">
        <f t="shared" si="73"/>
        <v>451.8188600962179</v>
      </c>
      <c r="F545" s="43">
        <f t="shared" si="73"/>
        <v>501.84576289352714</v>
      </c>
      <c r="G545" s="43">
        <f t="shared" si="73"/>
        <v>248.42825340581024</v>
      </c>
    </row>
    <row r="546" spans="1:7" ht="12.75">
      <c r="A546" s="15">
        <v>37986</v>
      </c>
      <c r="B546" s="43">
        <f aca="true" t="shared" si="74" ref="B546:G546">+B500</f>
        <v>540.5460151393887</v>
      </c>
      <c r="C546" s="43">
        <f t="shared" si="74"/>
        <v>543.1661213150285</v>
      </c>
      <c r="D546" s="43">
        <f t="shared" si="74"/>
        <v>531.5823432045613</v>
      </c>
      <c r="E546" s="43">
        <f t="shared" si="74"/>
        <v>506.067454791271</v>
      </c>
      <c r="F546" s="43">
        <f t="shared" si="74"/>
        <v>561.0693495581852</v>
      </c>
      <c r="G546" s="43">
        <f t="shared" si="74"/>
        <v>279.38382300302567</v>
      </c>
    </row>
    <row r="547" spans="1:7" ht="12.75">
      <c r="A547" s="15">
        <v>38352</v>
      </c>
      <c r="B547" s="43">
        <f aca="true" t="shared" si="75" ref="B547:G547">+B512</f>
        <v>642.6816604721854</v>
      </c>
      <c r="C547" s="43">
        <f t="shared" si="75"/>
        <v>655.5625963597897</v>
      </c>
      <c r="D547" s="43">
        <f t="shared" si="75"/>
        <v>662.1173830718276</v>
      </c>
      <c r="E547" s="43">
        <f t="shared" si="75"/>
        <v>605.9805784660617</v>
      </c>
      <c r="F547" s="43">
        <f t="shared" si="75"/>
        <v>693.8625678797952</v>
      </c>
      <c r="G547" s="43">
        <f t="shared" si="75"/>
        <v>333.1770114723241</v>
      </c>
    </row>
    <row r="548" spans="1:7" ht="12.75">
      <c r="A548" s="15">
        <v>38717</v>
      </c>
      <c r="B548" s="43">
        <f aca="true" t="shared" si="76" ref="B548:G548">+B524</f>
        <v>763.6732099517158</v>
      </c>
      <c r="C548" s="43">
        <f t="shared" si="76"/>
        <v>790.9685307686815</v>
      </c>
      <c r="D548" s="43">
        <f t="shared" si="76"/>
        <v>820.0611914754172</v>
      </c>
      <c r="E548" s="43">
        <f t="shared" si="76"/>
        <v>725.4184024930007</v>
      </c>
      <c r="F548" s="43">
        <f t="shared" si="76"/>
        <v>858.6204442799924</v>
      </c>
      <c r="G548" s="43">
        <f t="shared" si="76"/>
        <v>393.779203892474</v>
      </c>
    </row>
    <row r="549" spans="1:7" ht="12.75">
      <c r="A549" s="15"/>
      <c r="B549" s="43"/>
      <c r="C549" s="43"/>
      <c r="D549" s="43"/>
      <c r="E549" s="43"/>
      <c r="F549" s="43"/>
      <c r="G549" s="43"/>
    </row>
    <row r="550" spans="1:7" ht="23.25" customHeight="1" thickBot="1">
      <c r="A550" s="119" t="s">
        <v>0</v>
      </c>
      <c r="B550" s="118"/>
      <c r="C550" s="35"/>
      <c r="D550" s="35"/>
      <c r="E550" s="35"/>
      <c r="F550" s="35"/>
      <c r="G550" s="35"/>
    </row>
    <row r="551" spans="2:7" s="116" customFormat="1" ht="33" customHeight="1">
      <c r="B551" s="116" t="str">
        <f aca="true" t="shared" si="77" ref="B551:G551">+B11</f>
        <v>IPD Actual</v>
      </c>
      <c r="C551" s="116" t="str">
        <f t="shared" si="77"/>
        <v>Lag 1 Method</v>
      </c>
      <c r="D551" s="116" t="str">
        <f t="shared" si="77"/>
        <v>Lags 1-n Method</v>
      </c>
      <c r="E551" s="116" t="str">
        <f t="shared" si="77"/>
        <v>Equity Volatility</v>
      </c>
      <c r="F551" s="116" t="str">
        <f t="shared" si="77"/>
        <v>Market States</v>
      </c>
      <c r="G551" s="116" t="str">
        <f t="shared" si="77"/>
        <v>Time Varying</v>
      </c>
    </row>
    <row r="552" spans="1:7" ht="12.75">
      <c r="A552" s="15">
        <v>32142</v>
      </c>
      <c r="B552" s="5">
        <f aca="true" t="shared" si="78" ref="B552:G561">(B530/B529-1)*100</f>
        <v>17.047174089345553</v>
      </c>
      <c r="C552" s="5">
        <f t="shared" si="78"/>
        <v>20.129450186289198</v>
      </c>
      <c r="D552" s="5">
        <f t="shared" si="78"/>
        <v>24.829937359182065</v>
      </c>
      <c r="E552" s="5">
        <f t="shared" si="78"/>
        <v>19.241960610293994</v>
      </c>
      <c r="F552" s="5">
        <f t="shared" si="78"/>
        <v>23.844383536995785</v>
      </c>
      <c r="G552" s="5"/>
    </row>
    <row r="553" spans="1:7" ht="12.75">
      <c r="A553" s="15">
        <v>32508</v>
      </c>
      <c r="B553" s="5">
        <f t="shared" si="78"/>
        <v>31.225658737681172</v>
      </c>
      <c r="C553" s="5">
        <f t="shared" si="78"/>
        <v>33.07892833215522</v>
      </c>
      <c r="D553" s="5">
        <f t="shared" si="78"/>
        <v>37.393807548639145</v>
      </c>
      <c r="E553" s="5">
        <f t="shared" si="78"/>
        <v>31.495624441048054</v>
      </c>
      <c r="F553" s="5">
        <f t="shared" si="78"/>
        <v>36.88142078452417</v>
      </c>
      <c r="G553" s="5"/>
    </row>
    <row r="554" spans="1:7" ht="12.75">
      <c r="A554" s="15">
        <v>32873</v>
      </c>
      <c r="B554" s="5">
        <f t="shared" si="78"/>
        <v>16.71023569472485</v>
      </c>
      <c r="C554" s="5">
        <f t="shared" si="78"/>
        <v>10.591897237660785</v>
      </c>
      <c r="D554" s="5">
        <f t="shared" si="78"/>
        <v>-1.2077331936701796</v>
      </c>
      <c r="E554" s="5">
        <f t="shared" si="78"/>
        <v>10.123733152465597</v>
      </c>
      <c r="F554" s="5">
        <f t="shared" si="78"/>
        <v>11.475380311424278</v>
      </c>
      <c r="G554" s="5"/>
    </row>
    <row r="555" spans="1:7" ht="12.75">
      <c r="A555" s="15">
        <v>33238</v>
      </c>
      <c r="B555" s="5">
        <f t="shared" si="78"/>
        <v>-6.4021464590820365</v>
      </c>
      <c r="C555" s="5">
        <f t="shared" si="78"/>
        <v>-8.863205719331113</v>
      </c>
      <c r="D555" s="5">
        <f t="shared" si="78"/>
        <v>-13.66775033906108</v>
      </c>
      <c r="E555" s="5">
        <f t="shared" si="78"/>
        <v>-8.493100975123047</v>
      </c>
      <c r="F555" s="5">
        <f t="shared" si="78"/>
        <v>-11.707228797230684</v>
      </c>
      <c r="G555" s="5">
        <f t="shared" si="78"/>
        <v>-11.77999999092475</v>
      </c>
    </row>
    <row r="556" spans="1:7" ht="12.75">
      <c r="A556" s="15">
        <v>33603</v>
      </c>
      <c r="B556" s="5">
        <f t="shared" si="78"/>
        <v>-0.7457349357147258</v>
      </c>
      <c r="C556" s="5">
        <f t="shared" si="78"/>
        <v>1.874924190444438</v>
      </c>
      <c r="D556" s="5">
        <f t="shared" si="78"/>
        <v>7.611728803887696</v>
      </c>
      <c r="E556" s="5">
        <f t="shared" si="78"/>
        <v>1.7963499818025586</v>
      </c>
      <c r="F556" s="5">
        <f t="shared" si="78"/>
        <v>4.400132284878833</v>
      </c>
      <c r="G556" s="5">
        <f t="shared" si="78"/>
        <v>14.380845014259824</v>
      </c>
    </row>
    <row r="557" spans="1:7" ht="12.75">
      <c r="A557" s="15">
        <v>33969</v>
      </c>
      <c r="B557" s="5">
        <f t="shared" si="78"/>
        <v>-0.0831594788534562</v>
      </c>
      <c r="C557" s="5">
        <f t="shared" si="78"/>
        <v>-0.9339505614544108</v>
      </c>
      <c r="D557" s="5">
        <f t="shared" si="78"/>
        <v>-3.0405580880402683</v>
      </c>
      <c r="E557" s="5">
        <f t="shared" si="78"/>
        <v>-0.8923047251107041</v>
      </c>
      <c r="F557" s="5">
        <f t="shared" si="78"/>
        <v>-2.2617474378219704</v>
      </c>
      <c r="G557" s="5">
        <f t="shared" si="78"/>
        <v>-2.8826093466884917</v>
      </c>
    </row>
    <row r="558" spans="1:7" ht="12.75">
      <c r="A558" s="15">
        <v>34334</v>
      </c>
      <c r="B558" s="5">
        <f t="shared" si="78"/>
        <v>16.29045067171935</v>
      </c>
      <c r="C558" s="5">
        <f t="shared" si="78"/>
        <v>26.725392400539683</v>
      </c>
      <c r="D558" s="5">
        <f t="shared" si="78"/>
        <v>49.49314237470477</v>
      </c>
      <c r="E558" s="5">
        <f t="shared" si="78"/>
        <v>25.474962557524616</v>
      </c>
      <c r="F558" s="5">
        <f t="shared" si="78"/>
        <v>29.394705308965953</v>
      </c>
      <c r="G558" s="5">
        <f t="shared" si="78"/>
        <v>40.392086139082515</v>
      </c>
    </row>
    <row r="559" spans="1:7" ht="12.75">
      <c r="A559" s="15">
        <v>34699</v>
      </c>
      <c r="B559" s="5">
        <f t="shared" si="78"/>
        <v>15.256727892634814</v>
      </c>
      <c r="C559" s="5">
        <f t="shared" si="78"/>
        <v>6.242367995436737</v>
      </c>
      <c r="D559" s="5">
        <f t="shared" si="78"/>
        <v>-9.71263451007941</v>
      </c>
      <c r="E559" s="5">
        <f t="shared" si="78"/>
        <v>5.9783348804856695</v>
      </c>
      <c r="F559" s="5">
        <f t="shared" si="78"/>
        <v>6.763194574871156</v>
      </c>
      <c r="G559" s="5">
        <f t="shared" si="78"/>
        <v>-19.18202096671028</v>
      </c>
    </row>
    <row r="560" spans="1:7" ht="12.75">
      <c r="A560" s="15">
        <v>35064</v>
      </c>
      <c r="B560" s="5">
        <f t="shared" si="78"/>
        <v>3.1999325458647254</v>
      </c>
      <c r="C560" s="5">
        <f t="shared" si="78"/>
        <v>3.0887505635925017</v>
      </c>
      <c r="D560" s="5">
        <f t="shared" si="78"/>
        <v>2.7407690659726036</v>
      </c>
      <c r="E560" s="5">
        <f t="shared" si="78"/>
        <v>2.9561846971638106</v>
      </c>
      <c r="F560" s="5">
        <f t="shared" si="78"/>
        <v>1.9149769925046023</v>
      </c>
      <c r="G560" s="5">
        <f t="shared" si="78"/>
        <v>2.9444152307869675</v>
      </c>
    </row>
    <row r="561" spans="1:7" ht="12.75">
      <c r="A561" s="15">
        <v>35430</v>
      </c>
      <c r="B561" s="5">
        <f t="shared" si="78"/>
        <v>9.350764837945412</v>
      </c>
      <c r="C561" s="5">
        <f t="shared" si="78"/>
        <v>11.676981361154382</v>
      </c>
      <c r="D561" s="5">
        <f t="shared" si="78"/>
        <v>16.741814021646697</v>
      </c>
      <c r="E561" s="5">
        <f t="shared" si="78"/>
        <v>11.157036923063535</v>
      </c>
      <c r="F561" s="5">
        <f t="shared" si="78"/>
        <v>10.34588894942492</v>
      </c>
      <c r="G561" s="5">
        <f t="shared" si="78"/>
        <v>14.454668850382468</v>
      </c>
    </row>
    <row r="562" spans="1:7" ht="12.75">
      <c r="A562" s="15">
        <v>35795</v>
      </c>
      <c r="B562" s="5">
        <f aca="true" t="shared" si="79" ref="B562:G568">(B540/B539-1)*100</f>
        <v>15.428875286112032</v>
      </c>
      <c r="C562" s="5">
        <f t="shared" si="79"/>
        <v>16.485150139169225</v>
      </c>
      <c r="D562" s="5">
        <f t="shared" si="79"/>
        <v>18.916798570499573</v>
      </c>
      <c r="E562" s="5">
        <f t="shared" si="79"/>
        <v>15.737289464611614</v>
      </c>
      <c r="F562" s="5">
        <f t="shared" si="79"/>
        <v>15.948898057156535</v>
      </c>
      <c r="G562" s="5">
        <f t="shared" si="79"/>
        <v>17.17225982963204</v>
      </c>
    </row>
    <row r="563" spans="1:7" ht="12.75">
      <c r="A563" s="15">
        <v>36160</v>
      </c>
      <c r="B563" s="5">
        <f t="shared" si="79"/>
        <v>12.15086107646668</v>
      </c>
      <c r="C563" s="5">
        <f t="shared" si="79"/>
        <v>10.006002864862285</v>
      </c>
      <c r="D563" s="5">
        <f t="shared" si="79"/>
        <v>4.569229161933475</v>
      </c>
      <c r="E563" s="5">
        <f t="shared" si="79"/>
        <v>9.563634963369893</v>
      </c>
      <c r="F563" s="5">
        <f t="shared" si="79"/>
        <v>10.357966284094822</v>
      </c>
      <c r="G563" s="5">
        <f t="shared" si="79"/>
        <v>7.440600503959871</v>
      </c>
    </row>
    <row r="564" spans="1:7" ht="12.75">
      <c r="A564" s="15">
        <v>36525</v>
      </c>
      <c r="B564" s="5">
        <f t="shared" si="79"/>
        <v>14.132720028490064</v>
      </c>
      <c r="C564" s="5">
        <f t="shared" si="79"/>
        <v>15.783495327456754</v>
      </c>
      <c r="D564" s="5">
        <f t="shared" si="79"/>
        <v>20.55367951907636</v>
      </c>
      <c r="E564" s="5">
        <f t="shared" si="79"/>
        <v>15.06879066585829</v>
      </c>
      <c r="F564" s="5">
        <f t="shared" si="79"/>
        <v>15.163907355066609</v>
      </c>
      <c r="G564" s="5">
        <f t="shared" si="79"/>
        <v>15.355764076341426</v>
      </c>
    </row>
    <row r="565" spans="1:7" ht="12.75">
      <c r="A565" s="15">
        <v>36891</v>
      </c>
      <c r="B565" s="5">
        <f t="shared" si="79"/>
        <v>10.509689357315576</v>
      </c>
      <c r="C565" s="5">
        <f t="shared" si="79"/>
        <v>8.517256598874233</v>
      </c>
      <c r="D565" s="5">
        <f t="shared" si="79"/>
        <v>4.429279090121518</v>
      </c>
      <c r="E565" s="5">
        <f t="shared" si="79"/>
        <v>8.142004113001367</v>
      </c>
      <c r="F565" s="5">
        <f t="shared" si="79"/>
        <v>8.939257020999602</v>
      </c>
      <c r="G565" s="5">
        <f t="shared" si="79"/>
        <v>8.872580848941404</v>
      </c>
    </row>
    <row r="566" spans="1:7" ht="12.75">
      <c r="A566" s="15">
        <v>37256</v>
      </c>
      <c r="B566" s="5">
        <f t="shared" si="79"/>
        <v>7.062289266056743</v>
      </c>
      <c r="C566" s="5">
        <f t="shared" si="79"/>
        <v>7.359912462582319</v>
      </c>
      <c r="D566" s="5">
        <f t="shared" si="79"/>
        <v>7.6108134381570824</v>
      </c>
      <c r="E566" s="5">
        <f t="shared" si="79"/>
        <v>7.036956852786069</v>
      </c>
      <c r="F566" s="5">
        <f t="shared" si="79"/>
        <v>7.074043082271375</v>
      </c>
      <c r="G566" s="5">
        <f t="shared" si="79"/>
        <v>7.809397276555963</v>
      </c>
    </row>
    <row r="567" spans="1:7" ht="12.75">
      <c r="A567" s="15">
        <v>37621</v>
      </c>
      <c r="B567" s="5">
        <f t="shared" si="79"/>
        <v>10.449486795211582</v>
      </c>
      <c r="C567" s="5">
        <f t="shared" si="79"/>
        <v>10.748559263596835</v>
      </c>
      <c r="D567" s="5">
        <f t="shared" si="79"/>
        <v>11.479258089559163</v>
      </c>
      <c r="E567" s="5">
        <f t="shared" si="79"/>
        <v>10.270812738840696</v>
      </c>
      <c r="F567" s="5">
        <f t="shared" si="79"/>
        <v>10.380450143350718</v>
      </c>
      <c r="G567" s="5">
        <f t="shared" si="79"/>
        <v>11.247187364410681</v>
      </c>
    </row>
    <row r="568" spans="1:7" ht="12.75">
      <c r="A568" s="15">
        <v>37986</v>
      </c>
      <c r="B568" s="5">
        <f t="shared" si="79"/>
        <v>11.23740835054543</v>
      </c>
      <c r="C568" s="5">
        <f t="shared" si="79"/>
        <v>12.568198650967833</v>
      </c>
      <c r="D568" s="5">
        <f t="shared" si="79"/>
        <v>14.556981073955665</v>
      </c>
      <c r="E568" s="5">
        <f t="shared" si="79"/>
        <v>12.006713195527174</v>
      </c>
      <c r="F568" s="5">
        <f t="shared" si="79"/>
        <v>11.801153072049164</v>
      </c>
      <c r="G568" s="5">
        <f t="shared" si="79"/>
        <v>12.46056725546798</v>
      </c>
    </row>
    <row r="569" spans="1:7" ht="12.75">
      <c r="A569" s="15">
        <v>38352</v>
      </c>
      <c r="B569" s="5">
        <f aca="true" t="shared" si="80" ref="B569:G569">(B547/B546-1)*100</f>
        <v>18.894903018840935</v>
      </c>
      <c r="C569" s="5">
        <f t="shared" si="80"/>
        <v>20.692836065077948</v>
      </c>
      <c r="D569" s="5">
        <f t="shared" si="80"/>
        <v>24.55593974027732</v>
      </c>
      <c r="E569" s="5">
        <f t="shared" si="80"/>
        <v>19.743044672967592</v>
      </c>
      <c r="F569" s="5">
        <f t="shared" si="80"/>
        <v>23.667879634875465</v>
      </c>
      <c r="G569" s="5">
        <f t="shared" si="80"/>
        <v>19.254224489839512</v>
      </c>
    </row>
    <row r="570" spans="1:7" ht="12.75">
      <c r="A570" s="15">
        <v>38717</v>
      </c>
      <c r="B570" s="5">
        <f aca="true" t="shared" si="81" ref="B570:G570">(B548/B547-1)*100</f>
        <v>18.82604669170682</v>
      </c>
      <c r="C570" s="5">
        <f t="shared" si="81"/>
        <v>20.654920698766887</v>
      </c>
      <c r="D570" s="5">
        <f t="shared" si="81"/>
        <v>23.8543515759736</v>
      </c>
      <c r="E570" s="5">
        <f t="shared" si="81"/>
        <v>19.709843561203865</v>
      </c>
      <c r="F570" s="5">
        <f t="shared" si="81"/>
        <v>23.745030215946162</v>
      </c>
      <c r="G570" s="5">
        <f t="shared" si="81"/>
        <v>18.189187829120044</v>
      </c>
    </row>
    <row r="572" spans="3:7" ht="12.75">
      <c r="C572" s="5"/>
      <c r="D572" s="5"/>
      <c r="E572" s="5"/>
      <c r="F572" s="5"/>
      <c r="G572" s="5"/>
    </row>
    <row r="576" ht="12.75">
      <c r="B576" s="44"/>
    </row>
    <row r="578" ht="12.75">
      <c r="B578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/>
  <dimension ref="A1:Y226"/>
  <sheetViews>
    <sheetView showGridLines="0" defaultGridColor="0" colorId="12" workbookViewId="0" topLeftCell="A1">
      <pane xSplit="1" ySplit="3" topLeftCell="B4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4" sqref="B4"/>
    </sheetView>
  </sheetViews>
  <sheetFormatPr defaultColWidth="9.140625" defaultRowHeight="12.75"/>
  <cols>
    <col min="1" max="1" width="14.7109375" style="106" customWidth="1"/>
    <col min="2" max="2" width="11.00390625" style="5" customWidth="1"/>
    <col min="3" max="7" width="11.00390625" style="2" customWidth="1"/>
    <col min="8" max="9" width="13.140625" style="2" customWidth="1"/>
    <col min="10" max="10" width="9.140625" style="2" hidden="1" customWidth="1"/>
    <col min="11" max="13" width="9.140625" style="0" hidden="1" customWidth="1"/>
    <col min="14" max="14" width="8.7109375" style="0" hidden="1" customWidth="1"/>
    <col min="15" max="26" width="9.140625" style="0" hidden="1" customWidth="1"/>
  </cols>
  <sheetData>
    <row r="1" spans="1:24" s="120" customFormat="1" ht="24" thickBot="1">
      <c r="A1" s="113"/>
      <c r="B1" s="78" t="s">
        <v>77</v>
      </c>
      <c r="C1" s="113"/>
      <c r="D1" s="113"/>
      <c r="E1" s="113"/>
      <c r="F1" s="113"/>
      <c r="G1" s="113"/>
      <c r="H1" s="113"/>
      <c r="I1" s="113"/>
      <c r="J1" s="113"/>
      <c r="K1" s="78" t="s">
        <v>108</v>
      </c>
      <c r="L1" s="113"/>
      <c r="M1" s="113"/>
      <c r="N1" s="113"/>
      <c r="O1" s="113"/>
      <c r="P1" s="113"/>
      <c r="Q1" s="113"/>
      <c r="R1" s="78" t="s">
        <v>77</v>
      </c>
      <c r="S1" s="113"/>
      <c r="T1" s="113"/>
      <c r="U1" s="113"/>
      <c r="V1" s="113"/>
      <c r="W1" s="113"/>
      <c r="X1" s="113"/>
    </row>
    <row r="2" s="2" customFormat="1" ht="12.75">
      <c r="A2" s="106"/>
    </row>
    <row r="3" spans="1:25" s="2" customFormat="1" ht="30" customHeight="1">
      <c r="A3" s="100" t="s">
        <v>93</v>
      </c>
      <c r="B3" s="70"/>
      <c r="C3" s="36" t="s">
        <v>58</v>
      </c>
      <c r="D3" s="71" t="s">
        <v>97</v>
      </c>
      <c r="E3" s="36" t="s">
        <v>4</v>
      </c>
      <c r="F3" s="36" t="s">
        <v>5</v>
      </c>
      <c r="G3" s="36" t="s">
        <v>62</v>
      </c>
      <c r="H3" s="70" t="s">
        <v>90</v>
      </c>
      <c r="I3" s="70" t="s">
        <v>91</v>
      </c>
      <c r="L3" s="36" t="s">
        <v>58</v>
      </c>
      <c r="M3" s="71" t="s">
        <v>97</v>
      </c>
      <c r="N3" s="36" t="s">
        <v>4</v>
      </c>
      <c r="O3" s="36" t="s">
        <v>5</v>
      </c>
      <c r="P3" s="36" t="s">
        <v>62</v>
      </c>
      <c r="Q3" s="70" t="s">
        <v>90</v>
      </c>
      <c r="R3" s="70"/>
      <c r="S3" s="36" t="s">
        <v>58</v>
      </c>
      <c r="T3" s="71" t="s">
        <v>97</v>
      </c>
      <c r="U3" s="36" t="s">
        <v>4</v>
      </c>
      <c r="V3" s="36" t="s">
        <v>5</v>
      </c>
      <c r="W3" s="36" t="s">
        <v>62</v>
      </c>
      <c r="X3" s="70" t="s">
        <v>90</v>
      </c>
      <c r="Y3" s="70"/>
    </row>
    <row r="4" spans="1:25" s="2" customFormat="1" ht="12.75">
      <c r="A4" s="114"/>
      <c r="B4" s="52"/>
      <c r="C4" s="95">
        <f>CORREL(B87:B125,B88:B126)</f>
        <v>0.6677621766733439</v>
      </c>
      <c r="D4" s="95">
        <v>0.7061405046583117</v>
      </c>
      <c r="E4" s="95">
        <f>+C4</f>
        <v>0.6677621766733439</v>
      </c>
      <c r="F4" s="95">
        <f aca="true" t="shared" si="0" ref="F4:F9">+$C$4+I4</f>
        <v>0.7427621766733439</v>
      </c>
      <c r="G4" s="96">
        <v>1</v>
      </c>
      <c r="H4" s="87">
        <f>+B17+2*B20</f>
        <v>5.495849178540247</v>
      </c>
      <c r="I4" s="99">
        <v>0.075</v>
      </c>
      <c r="J4" s="5"/>
      <c r="L4" s="95" t="e">
        <f>CORREL(K71:K125,K72:K126)</f>
        <v>#DIV/0!</v>
      </c>
      <c r="M4" s="95">
        <v>0.9390515352046985</v>
      </c>
      <c r="N4" s="95" t="e">
        <f>+L4</f>
        <v>#DIV/0!</v>
      </c>
      <c r="O4" s="95">
        <f aca="true" t="shared" si="1" ref="O4:O9">+$B$4+R4</f>
        <v>0</v>
      </c>
      <c r="P4" s="96">
        <v>1</v>
      </c>
      <c r="Q4" s="87">
        <f>+K16+2*K19</f>
        <v>0</v>
      </c>
      <c r="R4" s="52"/>
      <c r="S4" s="95" t="e">
        <f>CORREL(R87:R125,R88:R126)</f>
        <v>#DIV/0!</v>
      </c>
      <c r="T4" s="95">
        <v>0.7061405046583117</v>
      </c>
      <c r="U4" s="95" t="e">
        <f>+S4</f>
        <v>#DIV/0!</v>
      </c>
      <c r="V4" s="95">
        <f aca="true" t="shared" si="2" ref="V4:V9">+$C$4+Y4</f>
        <v>0.6677621766733439</v>
      </c>
      <c r="W4" s="96">
        <v>1</v>
      </c>
      <c r="X4" s="87">
        <f>+R17+2*R20</f>
        <v>0</v>
      </c>
      <c r="Y4" s="52"/>
    </row>
    <row r="5" spans="1:25" s="2" customFormat="1" ht="12.75">
      <c r="A5" s="114"/>
      <c r="B5" s="52"/>
      <c r="C5" s="38"/>
      <c r="D5" s="95"/>
      <c r="E5" s="97">
        <v>3.653255957833289</v>
      </c>
      <c r="F5" s="95">
        <f t="shared" si="0"/>
        <v>0.6427621766733439</v>
      </c>
      <c r="G5" s="51"/>
      <c r="H5" s="87">
        <f>+B17+B20</f>
        <v>4.272581010203351</v>
      </c>
      <c r="I5" s="99">
        <v>-0.025</v>
      </c>
      <c r="J5" s="5"/>
      <c r="L5" s="38"/>
      <c r="M5" s="95"/>
      <c r="N5" s="97">
        <v>2</v>
      </c>
      <c r="O5" s="95">
        <f t="shared" si="1"/>
        <v>0</v>
      </c>
      <c r="P5" s="51"/>
      <c r="Q5" s="87">
        <f>+K16+K19</f>
        <v>0</v>
      </c>
      <c r="R5" s="52"/>
      <c r="S5" s="38"/>
      <c r="T5" s="95"/>
      <c r="U5" s="97">
        <v>3.653255957833289</v>
      </c>
      <c r="V5" s="95">
        <f t="shared" si="2"/>
        <v>0.6677621766733439</v>
      </c>
      <c r="W5" s="51"/>
      <c r="X5" s="87">
        <f>+R17+R20</f>
        <v>0</v>
      </c>
      <c r="Y5" s="52"/>
    </row>
    <row r="6" spans="1:25" s="2" customFormat="1" ht="12.75">
      <c r="A6" s="114"/>
      <c r="B6" s="52"/>
      <c r="C6" s="38"/>
      <c r="D6" s="95">
        <v>-0.45202521596221895</v>
      </c>
      <c r="E6" s="95">
        <f>+(E5*STDEV(C87:C126))/STDEV(J87:J126)</f>
        <v>1.0851337337789986</v>
      </c>
      <c r="F6" s="95">
        <f t="shared" si="0"/>
        <v>0.5427621766733439</v>
      </c>
      <c r="G6" s="52"/>
      <c r="H6" s="87">
        <f>+B17</f>
        <v>3.049312841866454</v>
      </c>
      <c r="I6" s="99">
        <v>-0.125</v>
      </c>
      <c r="J6" s="5"/>
      <c r="L6" s="38"/>
      <c r="M6" s="95">
        <v>-0.360207674524585</v>
      </c>
      <c r="N6" s="95" t="e">
        <f>+(N5*STDEV(L71:L126))/STDEV(S71:S126)</f>
        <v>#DIV/0!</v>
      </c>
      <c r="O6" s="95">
        <f t="shared" si="1"/>
        <v>0</v>
      </c>
      <c r="P6" s="52"/>
      <c r="Q6" s="87">
        <f>+K16</f>
        <v>0</v>
      </c>
      <c r="R6" s="52"/>
      <c r="S6" s="38"/>
      <c r="T6" s="95">
        <v>-0.45202521596221895</v>
      </c>
      <c r="U6" s="95" t="e">
        <f>+(U5*STDEV(S87:S126))/STDEV(Z87:Z126)</f>
        <v>#DIV/0!</v>
      </c>
      <c r="V6" s="95">
        <f t="shared" si="2"/>
        <v>0.6677621766733439</v>
      </c>
      <c r="W6" s="52"/>
      <c r="X6" s="87">
        <f>+R17</f>
        <v>0</v>
      </c>
      <c r="Y6" s="52"/>
    </row>
    <row r="7" spans="1:25" s="2" customFormat="1" ht="12.75">
      <c r="A7" s="1"/>
      <c r="B7" s="52"/>
      <c r="C7" s="38"/>
      <c r="D7" s="95">
        <v>0.3156700886975305</v>
      </c>
      <c r="E7" s="38"/>
      <c r="F7" s="95">
        <f t="shared" si="0"/>
        <v>0.592762176673344</v>
      </c>
      <c r="G7" s="38"/>
      <c r="H7" s="87">
        <f>+B17-B20</f>
        <v>1.826044673529557</v>
      </c>
      <c r="I7" s="99">
        <v>-0.075</v>
      </c>
      <c r="J7" s="5"/>
      <c r="L7" s="38"/>
      <c r="M7" s="95"/>
      <c r="N7" s="38"/>
      <c r="O7" s="95">
        <f t="shared" si="1"/>
        <v>0</v>
      </c>
      <c r="P7" s="38"/>
      <c r="Q7" s="87">
        <f>+K16-K19</f>
        <v>0</v>
      </c>
      <c r="R7" s="52"/>
      <c r="S7" s="38"/>
      <c r="T7" s="95">
        <v>0.3156700886975305</v>
      </c>
      <c r="U7" s="38"/>
      <c r="V7" s="95">
        <f t="shared" si="2"/>
        <v>0.6677621766733439</v>
      </c>
      <c r="W7" s="38"/>
      <c r="X7" s="87">
        <f>+R17-R20</f>
        <v>0</v>
      </c>
      <c r="Y7" s="52"/>
    </row>
    <row r="8" spans="1:25" s="2" customFormat="1" ht="12.75">
      <c r="A8" s="106"/>
      <c r="B8" s="52"/>
      <c r="C8" s="38"/>
      <c r="D8" s="40"/>
      <c r="E8" s="38"/>
      <c r="F8" s="95">
        <f t="shared" si="0"/>
        <v>0.6927621766733439</v>
      </c>
      <c r="G8" s="38"/>
      <c r="H8" s="87">
        <f>+B17-2*B20</f>
        <v>0.6027765051926601</v>
      </c>
      <c r="I8" s="99">
        <v>0.025</v>
      </c>
      <c r="J8" s="13"/>
      <c r="L8" s="38"/>
      <c r="M8" s="40"/>
      <c r="N8" s="38"/>
      <c r="O8" s="95">
        <f t="shared" si="1"/>
        <v>0</v>
      </c>
      <c r="P8" s="38"/>
      <c r="Q8" s="87">
        <f>+K16-2*K19</f>
        <v>0</v>
      </c>
      <c r="R8" s="52"/>
      <c r="S8" s="38"/>
      <c r="T8" s="40"/>
      <c r="U8" s="38"/>
      <c r="V8" s="95">
        <f t="shared" si="2"/>
        <v>0.6677621766733439</v>
      </c>
      <c r="W8" s="38"/>
      <c r="X8" s="87">
        <f>+R17-2*R20</f>
        <v>0</v>
      </c>
      <c r="Y8" s="52"/>
    </row>
    <row r="9" spans="1:25" s="2" customFormat="1" ht="12.75">
      <c r="A9" s="106"/>
      <c r="B9" s="52"/>
      <c r="C9" s="38"/>
      <c r="D9" s="40"/>
      <c r="E9" s="38"/>
      <c r="F9" s="95">
        <f t="shared" si="0"/>
        <v>0.7927621766733439</v>
      </c>
      <c r="G9" s="38"/>
      <c r="H9" s="38"/>
      <c r="I9" s="99">
        <v>0.125</v>
      </c>
      <c r="J9" s="5"/>
      <c r="L9" s="38"/>
      <c r="M9" s="40"/>
      <c r="N9" s="38"/>
      <c r="O9" s="95">
        <f t="shared" si="1"/>
        <v>0</v>
      </c>
      <c r="P9" s="38"/>
      <c r="Q9" s="38"/>
      <c r="R9" s="52"/>
      <c r="S9" s="38"/>
      <c r="T9" s="40"/>
      <c r="U9" s="38"/>
      <c r="V9" s="95">
        <f t="shared" si="2"/>
        <v>0.6677621766733439</v>
      </c>
      <c r="W9" s="38"/>
      <c r="X9" s="38"/>
      <c r="Y9" s="52"/>
    </row>
    <row r="10" spans="2:25" ht="22.5" customHeight="1" thickBot="1">
      <c r="B10" s="43"/>
      <c r="C10" s="66" t="s">
        <v>61</v>
      </c>
      <c r="D10" s="53"/>
      <c r="E10" s="54"/>
      <c r="F10" s="53"/>
      <c r="G10" s="55"/>
      <c r="Y10" s="88"/>
    </row>
    <row r="11" spans="1:7" ht="25.5">
      <c r="A11" s="107" t="s">
        <v>9</v>
      </c>
      <c r="B11" s="41" t="s">
        <v>15</v>
      </c>
      <c r="C11" s="42" t="str">
        <f>+C3</f>
        <v>Lag 1 Method</v>
      </c>
      <c r="D11" s="42" t="str">
        <f>+D3</f>
        <v>Lags 1-n Method</v>
      </c>
      <c r="E11" s="42" t="str">
        <f>+E3</f>
        <v>Equity Volatility</v>
      </c>
      <c r="F11" s="42" t="str">
        <f>+F3</f>
        <v>Market States</v>
      </c>
      <c r="G11" s="42" t="str">
        <f>+G3</f>
        <v>Time Varying</v>
      </c>
    </row>
    <row r="12" spans="1:7" ht="19.5" customHeight="1">
      <c r="A12" s="108" t="s">
        <v>98</v>
      </c>
      <c r="B12" s="81"/>
      <c r="C12" s="45"/>
      <c r="D12" s="45"/>
      <c r="E12" s="45"/>
      <c r="F12" s="45"/>
      <c r="G12" s="45"/>
    </row>
    <row r="13" spans="1:8" ht="12.75">
      <c r="A13" s="109" t="s">
        <v>85</v>
      </c>
      <c r="B13" s="43">
        <f aca="true" t="shared" si="3" ref="B13:G13">RATE(14,,-B132,B188)*100</f>
        <v>11.491852608814463</v>
      </c>
      <c r="C13" s="43">
        <f t="shared" si="3"/>
        <v>12.09854843676306</v>
      </c>
      <c r="D13" s="43">
        <f t="shared" si="3"/>
        <v>11.958438777273086</v>
      </c>
      <c r="E13" s="43">
        <f t="shared" si="3"/>
        <v>11.127825785486941</v>
      </c>
      <c r="F13" s="43">
        <f t="shared" si="3"/>
        <v>12.293928316306598</v>
      </c>
      <c r="G13" s="43">
        <f t="shared" si="3"/>
        <v>12.974348073433376</v>
      </c>
      <c r="H13" s="43"/>
    </row>
    <row r="14" spans="1:8" ht="12.75">
      <c r="A14" s="110" t="s">
        <v>22</v>
      </c>
      <c r="B14" s="43">
        <f aca="true" t="shared" si="4" ref="B14:G14">RATE(10,,-B148,B188)*100</f>
        <v>12.74246869279611</v>
      </c>
      <c r="C14" s="43">
        <f t="shared" si="4"/>
        <v>13.794481715576614</v>
      </c>
      <c r="D14" s="43">
        <f t="shared" si="4"/>
        <v>13.33825094994169</v>
      </c>
      <c r="E14" s="43">
        <f t="shared" si="4"/>
        <v>12.671622868577103</v>
      </c>
      <c r="F14" s="43">
        <f t="shared" si="4"/>
        <v>13.779493372390094</v>
      </c>
      <c r="G14" s="43">
        <f t="shared" si="4"/>
        <v>14.077260555476418</v>
      </c>
      <c r="H14" s="43"/>
    </row>
    <row r="15" spans="1:8" ht="19.5" customHeight="1">
      <c r="A15" s="111" t="s">
        <v>100</v>
      </c>
      <c r="B15" s="81"/>
      <c r="C15" s="81"/>
      <c r="D15" s="81"/>
      <c r="E15" s="81"/>
      <c r="F15" s="81"/>
      <c r="G15" s="81"/>
      <c r="H15" s="43"/>
    </row>
    <row r="16" spans="1:8" ht="12.75">
      <c r="A16" s="109" t="s">
        <v>85</v>
      </c>
      <c r="B16" s="44">
        <f aca="true" t="shared" si="5" ref="B16:G16">AVERAGE(B71:B126)</f>
        <v>2.770851576800566</v>
      </c>
      <c r="C16" s="44">
        <f t="shared" si="5"/>
        <v>2.950597491359145</v>
      </c>
      <c r="D16" s="44">
        <f t="shared" si="5"/>
        <v>2.8948645812843714</v>
      </c>
      <c r="E16" s="44">
        <f t="shared" si="5"/>
        <v>2.719109543377326</v>
      </c>
      <c r="F16" s="44">
        <f t="shared" si="5"/>
        <v>3.0016573298567613</v>
      </c>
      <c r="G16" s="44">
        <f t="shared" si="5"/>
        <v>3.3179134417657203</v>
      </c>
      <c r="H16" s="44"/>
    </row>
    <row r="17" spans="1:8" ht="12.75">
      <c r="A17" s="110" t="s">
        <v>22</v>
      </c>
      <c r="B17" s="44">
        <f aca="true" t="shared" si="6" ref="B17:G17">AVERAGE(B87:B126)</f>
        <v>3.049312841866454</v>
      </c>
      <c r="C17" s="44">
        <f t="shared" si="6"/>
        <v>3.3100203183002384</v>
      </c>
      <c r="D17" s="44">
        <f t="shared" si="6"/>
        <v>3.193648235428858</v>
      </c>
      <c r="E17" s="44">
        <f t="shared" si="6"/>
        <v>3.0503339959518456</v>
      </c>
      <c r="F17" s="44">
        <f t="shared" si="6"/>
        <v>3.3034306857301123</v>
      </c>
      <c r="G17" s="44">
        <f t="shared" si="6"/>
        <v>3.391868694388024</v>
      </c>
      <c r="H17" s="44"/>
    </row>
    <row r="18" spans="1:8" ht="19.5" customHeight="1">
      <c r="A18" s="111" t="s">
        <v>101</v>
      </c>
      <c r="B18" s="81"/>
      <c r="C18" s="81"/>
      <c r="D18" s="81"/>
      <c r="E18" s="81"/>
      <c r="F18" s="81"/>
      <c r="G18" s="81"/>
      <c r="H18" s="43"/>
    </row>
    <row r="19" spans="1:9" ht="12.75">
      <c r="A19" s="109" t="s">
        <v>85</v>
      </c>
      <c r="B19" s="43">
        <f aca="true" t="shared" si="7" ref="B19:G19">STDEV(B71:B126)</f>
        <v>1.719259598701888</v>
      </c>
      <c r="C19" s="43">
        <f t="shared" si="7"/>
        <v>3.4106705674218794</v>
      </c>
      <c r="D19" s="43">
        <f t="shared" si="7"/>
        <v>2.5583773255463886</v>
      </c>
      <c r="E19" s="43">
        <f t="shared" si="7"/>
        <v>3.1430877699692887</v>
      </c>
      <c r="F19" s="43">
        <f t="shared" si="7"/>
        <v>3.63816708005769</v>
      </c>
      <c r="G19" s="43">
        <f t="shared" si="7"/>
        <v>6.883582917603996</v>
      </c>
      <c r="H19" s="43"/>
      <c r="I19" s="48"/>
    </row>
    <row r="20" spans="1:8" ht="12.75">
      <c r="A20" s="110" t="s">
        <v>22</v>
      </c>
      <c r="B20" s="43">
        <f aca="true" t="shared" si="8" ref="B20:G20">STDEV(B83:B126)</f>
        <v>1.2232681683368969</v>
      </c>
      <c r="C20" s="43">
        <f t="shared" si="8"/>
        <v>2.4101654841296623</v>
      </c>
      <c r="D20" s="43">
        <f t="shared" si="8"/>
        <v>1.9467645282771695</v>
      </c>
      <c r="E20" s="43">
        <f t="shared" si="8"/>
        <v>2.2210769134751853</v>
      </c>
      <c r="F20" s="43">
        <f t="shared" si="8"/>
        <v>2.320557799816223</v>
      </c>
      <c r="G20" s="43">
        <f t="shared" si="8"/>
        <v>3.0967408516232355</v>
      </c>
      <c r="H20" s="43"/>
    </row>
    <row r="21" spans="1:8" ht="19.5" customHeight="1">
      <c r="A21" s="111" t="s">
        <v>102</v>
      </c>
      <c r="B21" s="82"/>
      <c r="C21" s="82"/>
      <c r="D21" s="82"/>
      <c r="E21" s="82"/>
      <c r="F21" s="82"/>
      <c r="G21" s="82"/>
      <c r="H21" s="44"/>
    </row>
    <row r="22" spans="1:10" ht="12.75">
      <c r="A22" s="109" t="s">
        <v>85</v>
      </c>
      <c r="B22" s="43">
        <f aca="true" t="shared" si="9" ref="B22:G23">+B19/$B19</f>
        <v>1</v>
      </c>
      <c r="C22" s="43">
        <f t="shared" si="9"/>
        <v>1.983801963355084</v>
      </c>
      <c r="D22" s="43">
        <f t="shared" si="9"/>
        <v>1.4880692406650335</v>
      </c>
      <c r="E22" s="43">
        <f t="shared" si="9"/>
        <v>1.828163572471807</v>
      </c>
      <c r="F22" s="43">
        <f t="shared" si="9"/>
        <v>2.1161243379444596</v>
      </c>
      <c r="G22" s="43">
        <f t="shared" si="9"/>
        <v>4.003806593722894</v>
      </c>
      <c r="H22" s="44"/>
      <c r="I22" s="75"/>
      <c r="J22" s="75"/>
    </row>
    <row r="23" spans="1:8" ht="12.75">
      <c r="A23" s="110" t="s">
        <v>22</v>
      </c>
      <c r="B23" s="43">
        <f t="shared" si="9"/>
        <v>1</v>
      </c>
      <c r="C23" s="43">
        <f t="shared" si="9"/>
        <v>1.9702674740620614</v>
      </c>
      <c r="D23" s="43">
        <f t="shared" si="9"/>
        <v>1.591445423552472</v>
      </c>
      <c r="E23" s="43">
        <f t="shared" si="9"/>
        <v>1.8156909261318117</v>
      </c>
      <c r="F23" s="43">
        <f t="shared" si="9"/>
        <v>1.897014783742108</v>
      </c>
      <c r="G23" s="43">
        <f t="shared" si="9"/>
        <v>2.531530642077797</v>
      </c>
      <c r="H23" s="44"/>
    </row>
    <row r="24" spans="1:8" ht="19.5" customHeight="1">
      <c r="A24" s="111" t="s">
        <v>95</v>
      </c>
      <c r="B24" s="82"/>
      <c r="C24" s="82"/>
      <c r="D24" s="82"/>
      <c r="E24" s="82"/>
      <c r="F24" s="82"/>
      <c r="G24" s="82"/>
      <c r="H24" s="44"/>
    </row>
    <row r="25" spans="1:8" ht="12.75">
      <c r="A25" s="109" t="s">
        <v>85</v>
      </c>
      <c r="B25" s="43">
        <f aca="true" t="shared" si="10" ref="B25:G25">STDEV(B210:B223)</f>
        <v>5.529822481093582</v>
      </c>
      <c r="C25" s="43">
        <f t="shared" si="10"/>
        <v>10.293376029820447</v>
      </c>
      <c r="D25" s="43">
        <f t="shared" si="10"/>
        <v>7.7075322205277</v>
      </c>
      <c r="E25" s="43">
        <f t="shared" si="10"/>
        <v>9.41760153409938</v>
      </c>
      <c r="F25" s="43">
        <f t="shared" si="10"/>
        <v>10.567358546189832</v>
      </c>
      <c r="G25" s="43">
        <f t="shared" si="10"/>
        <v>27.738016744869704</v>
      </c>
      <c r="H25" s="44"/>
    </row>
    <row r="26" spans="1:8" ht="12.75">
      <c r="A26" s="110" t="s">
        <v>22</v>
      </c>
      <c r="B26" s="43">
        <f aca="true" t="shared" si="11" ref="B26:G26">STDEV(B214:B223)</f>
        <v>3.952496834487631</v>
      </c>
      <c r="C26" s="43">
        <f t="shared" si="11"/>
        <v>6.315645830420813</v>
      </c>
      <c r="D26" s="43">
        <f t="shared" si="11"/>
        <v>5.0868022397820996</v>
      </c>
      <c r="E26" s="43">
        <f t="shared" si="11"/>
        <v>5.781136239993714</v>
      </c>
      <c r="F26" s="43">
        <f t="shared" si="11"/>
        <v>6.223957970328682</v>
      </c>
      <c r="G26" s="43">
        <f t="shared" si="11"/>
        <v>8.031746173899116</v>
      </c>
      <c r="H26" s="44"/>
    </row>
    <row r="27" spans="1:8" ht="19.5" customHeight="1">
      <c r="A27" s="111" t="s">
        <v>96</v>
      </c>
      <c r="B27" s="82"/>
      <c r="C27" s="82"/>
      <c r="D27" s="82"/>
      <c r="E27" s="82"/>
      <c r="F27" s="82"/>
      <c r="G27" s="82"/>
      <c r="H27" s="44"/>
    </row>
    <row r="28" spans="1:8" ht="12.75">
      <c r="A28" s="109" t="s">
        <v>85</v>
      </c>
      <c r="B28" s="43">
        <f aca="true" t="shared" si="12" ref="B28:G29">+B25/$B25</f>
        <v>1</v>
      </c>
      <c r="C28" s="43">
        <f t="shared" si="12"/>
        <v>1.8614297411921297</v>
      </c>
      <c r="D28" s="43">
        <f t="shared" si="12"/>
        <v>1.3938118713357779</v>
      </c>
      <c r="E28" s="43">
        <f t="shared" si="12"/>
        <v>1.7030567556730947</v>
      </c>
      <c r="F28" s="43">
        <f t="shared" si="12"/>
        <v>1.9109760905200022</v>
      </c>
      <c r="G28" s="43">
        <f t="shared" si="12"/>
        <v>5.016077250165942</v>
      </c>
      <c r="H28" s="44"/>
    </row>
    <row r="29" spans="1:8" ht="12.75">
      <c r="A29" s="110" t="s">
        <v>22</v>
      </c>
      <c r="B29" s="43">
        <f t="shared" si="12"/>
        <v>1</v>
      </c>
      <c r="C29" s="43">
        <f t="shared" si="12"/>
        <v>1.5978876378377975</v>
      </c>
      <c r="D29" s="43">
        <f t="shared" si="12"/>
        <v>1.2869845196072145</v>
      </c>
      <c r="E29" s="43">
        <f t="shared" si="12"/>
        <v>1.462654236570219</v>
      </c>
      <c r="F29" s="43">
        <f t="shared" si="12"/>
        <v>1.5746901847008068</v>
      </c>
      <c r="G29" s="43">
        <f t="shared" si="12"/>
        <v>2.032068970635946</v>
      </c>
      <c r="H29" s="44"/>
    </row>
    <row r="30" spans="1:8" ht="19.5" customHeight="1">
      <c r="A30" s="111" t="s">
        <v>17</v>
      </c>
      <c r="B30" s="81"/>
      <c r="C30" s="81"/>
      <c r="D30" s="81"/>
      <c r="E30" s="81"/>
      <c r="F30" s="81"/>
      <c r="G30" s="81"/>
      <c r="H30" s="43"/>
    </row>
    <row r="31" spans="1:8" ht="12.75">
      <c r="A31" s="109" t="s">
        <v>85</v>
      </c>
      <c r="B31" s="44">
        <f aca="true" t="shared" si="13" ref="B31:G31">CORREL(B71:B125,B72:B126)</f>
        <v>0.7553835949821162</v>
      </c>
      <c r="C31" s="44">
        <f t="shared" si="13"/>
        <v>0.3015303972629298</v>
      </c>
      <c r="D31" s="44">
        <f t="shared" si="13"/>
        <v>0.3426853535401899</v>
      </c>
      <c r="E31" s="44">
        <f t="shared" si="13"/>
        <v>0.3015303972629297</v>
      </c>
      <c r="F31" s="44">
        <f t="shared" si="13"/>
        <v>0.2802969175644138</v>
      </c>
      <c r="G31" s="44">
        <f t="shared" si="13"/>
        <v>0.35189814628958743</v>
      </c>
      <c r="H31" s="44"/>
    </row>
    <row r="32" spans="1:8" ht="12.75">
      <c r="A32" s="110" t="s">
        <v>22</v>
      </c>
      <c r="B32" s="44">
        <f aca="true" t="shared" si="14" ref="B32:G32">CORREL(B87:B125,B88:B126)</f>
        <v>0.6677621766733439</v>
      </c>
      <c r="C32" s="44">
        <f t="shared" si="14"/>
        <v>-0.08608380982953306</v>
      </c>
      <c r="D32" s="44">
        <f t="shared" si="14"/>
        <v>0.05749078036724567</v>
      </c>
      <c r="E32" s="44">
        <f t="shared" si="14"/>
        <v>-0.08608380982953309</v>
      </c>
      <c r="F32" s="44">
        <f t="shared" si="14"/>
        <v>0.0302043373612609</v>
      </c>
      <c r="G32" s="44">
        <f t="shared" si="14"/>
        <v>-0.1551916116841878</v>
      </c>
      <c r="H32" s="44"/>
    </row>
    <row r="33" spans="1:8" ht="19.5" customHeight="1">
      <c r="A33" s="111" t="s">
        <v>65</v>
      </c>
      <c r="B33" s="82"/>
      <c r="C33" s="82"/>
      <c r="D33" s="82"/>
      <c r="E33" s="82"/>
      <c r="F33" s="82"/>
      <c r="G33" s="82"/>
      <c r="H33" s="44"/>
    </row>
    <row r="34" spans="1:8" ht="12.75">
      <c r="A34" s="109" t="s">
        <v>85</v>
      </c>
      <c r="B34" s="44">
        <f>TDIST(B31/SQRT((1-B31^2)/53),53,2)</f>
        <v>2.6579956910489766E-11</v>
      </c>
      <c r="C34" s="44">
        <f>IF(C31&gt;0,TDIST(C31/SQRT((1-C31^2)/53),53,2),TDIST(-C31/SQRT((1-C31^2)/53),53,2))</f>
        <v>0.025273423156088097</v>
      </c>
      <c r="D34" s="44">
        <f>IF(D31&gt;0,TDIST(D31/SQRT((1-D31^2)/53),53,2),TDIST(-D31/SQRT((1-D31^2)/53),53,2))</f>
        <v>0.010433784839239842</v>
      </c>
      <c r="E34" s="44">
        <f>IF(E31&gt;0,TDIST(E31/SQRT((1-E31^2)/53),53,2),TDIST(-E31/SQRT((1-E31^2)/53),53,2))</f>
        <v>0.025273423156088326</v>
      </c>
      <c r="F34" s="44">
        <f>IF(F31&gt;0,TDIST(F31/SQRT((1-F31^2)/53),53,2),TDIST(-F31/SQRT((1-F31^2)/53),53,2))</f>
        <v>0.03819626042937384</v>
      </c>
      <c r="G34" s="44">
        <f>IF(G31&gt;0,TDIST(G31/SQRT((1-G31^2)/53),53,2),TDIST(-G31/SQRT((1-G31^2)/53),53,2))</f>
        <v>0.008422195705305965</v>
      </c>
      <c r="H34" s="44"/>
    </row>
    <row r="35" spans="1:8" ht="12.75">
      <c r="A35" s="110" t="s">
        <v>22</v>
      </c>
      <c r="B35" s="44">
        <f>TDIST(B32/SQRT((1-B32^2)/37),37,2)</f>
        <v>3.417034690006517E-06</v>
      </c>
      <c r="C35" s="44">
        <f>IF(C32&gt;0,TDIST(C32/SQRT((1-C32^2)/37),37,2),TDIST(-C32/SQRT((1-C32^2)/37),37,2))</f>
        <v>0.6023170717768124</v>
      </c>
      <c r="D35" s="44">
        <f>IF(D32&gt;0,TDIST(D32/SQRT((1-D32^2)/37),37,2),TDIST(-D32/SQRT((1-D32^2)/37),37,2))</f>
        <v>0.7281133090553104</v>
      </c>
      <c r="E35" s="44">
        <f>IF(E32&gt;0,TDIST(E32/SQRT((1-E32^2)/37),37,2),TDIST(-E32/SQRT((1-E32^2)/37),37,2))</f>
        <v>0.6023170717768124</v>
      </c>
      <c r="F35" s="44">
        <f>IF(F32&gt;0,TDIST(F32/SQRT((1-F32^2)/37),37,2),TDIST(-F32/SQRT((1-F32^2)/37),37,2))</f>
        <v>0.8551664269664384</v>
      </c>
      <c r="G35" s="44">
        <f>IF(G32&gt;0,TDIST(G32/SQRT((1-G32^2)/37),37,2),TDIST(-G32/SQRT((1-G32^2)/37),37,2))</f>
        <v>0.34549103761506705</v>
      </c>
      <c r="H35" s="44"/>
    </row>
    <row r="36" spans="1:8" ht="19.5" customHeight="1">
      <c r="A36" s="111" t="s">
        <v>18</v>
      </c>
      <c r="B36" s="81"/>
      <c r="C36" s="45"/>
      <c r="D36" s="45"/>
      <c r="E36" s="45"/>
      <c r="F36" s="45"/>
      <c r="G36" s="45"/>
      <c r="H36" s="38"/>
    </row>
    <row r="37" spans="1:8" ht="12.75">
      <c r="A37" s="109" t="s">
        <v>85</v>
      </c>
      <c r="B37" s="44">
        <f aca="true" t="shared" si="15" ref="B37:G37">CORREL(B71:B124,B73:B126)</f>
        <v>0.4334330803728851</v>
      </c>
      <c r="C37" s="44">
        <f t="shared" si="15"/>
        <v>0.16595000241462593</v>
      </c>
      <c r="D37" s="44">
        <f t="shared" si="15"/>
        <v>0.13412395131284507</v>
      </c>
      <c r="E37" s="44">
        <f t="shared" si="15"/>
        <v>0.16595000241462593</v>
      </c>
      <c r="F37" s="44">
        <f t="shared" si="15"/>
        <v>0.2024829501575202</v>
      </c>
      <c r="G37" s="44">
        <f t="shared" si="15"/>
        <v>0.2628359402832305</v>
      </c>
      <c r="H37" s="44"/>
    </row>
    <row r="38" spans="1:8" ht="12.75">
      <c r="A38" s="110" t="s">
        <v>22</v>
      </c>
      <c r="B38" s="44">
        <f aca="true" t="shared" si="16" ref="B38:G38">CORREL(B85:B126,B83:B124)</f>
        <v>0.6530233289481057</v>
      </c>
      <c r="C38" s="44">
        <f t="shared" si="16"/>
        <v>0.40628036326092254</v>
      </c>
      <c r="D38" s="44">
        <f t="shared" si="16"/>
        <v>0.3830364330200028</v>
      </c>
      <c r="E38" s="44">
        <f t="shared" si="16"/>
        <v>0.4062803632609224</v>
      </c>
      <c r="F38" s="44">
        <f t="shared" si="16"/>
        <v>0.4651700656470332</v>
      </c>
      <c r="G38" s="44">
        <f t="shared" si="16"/>
        <v>0.3474280409159513</v>
      </c>
      <c r="H38" s="44"/>
    </row>
    <row r="39" spans="1:8" ht="19.5" customHeight="1">
      <c r="A39" s="111" t="s">
        <v>66</v>
      </c>
      <c r="B39" s="82"/>
      <c r="C39" s="82"/>
      <c r="D39" s="82"/>
      <c r="E39" s="82"/>
      <c r="F39" s="82"/>
      <c r="G39" s="82"/>
      <c r="H39" s="44"/>
    </row>
    <row r="40" spans="1:8" ht="12.75">
      <c r="A40" s="109" t="s">
        <v>85</v>
      </c>
      <c r="B40" s="44">
        <f>TDIST(B37/SQRT((1-B37^2)/53),53,2)</f>
        <v>0.0009477768040616637</v>
      </c>
      <c r="C40" s="44">
        <f>IF(C37&gt;0,TDIST(C37/SQRT((1-C37^2)/53),53,2),TDIST(-C37/SQRT((1-C37^2)/53),53,2))</f>
        <v>0.22594630772881907</v>
      </c>
      <c r="D40" s="44">
        <f>IF(D37&gt;0,TDIST(D37/SQRT((1-D37^2)/53),53,2),TDIST(-D37/SQRT((1-D37^2)/53),53,2))</f>
        <v>0.3289340494436749</v>
      </c>
      <c r="E40" s="44">
        <f>IF(E37&gt;0,TDIST(E37/SQRT((1-E37^2)/53),53,2),TDIST(-E37/SQRT((1-E37^2)/53),53,2))</f>
        <v>0.22594630772881907</v>
      </c>
      <c r="F40" s="44">
        <f>IF(F37&gt;0,TDIST(F37/SQRT((1-F37^2)/53),53,2),TDIST(-F37/SQRT((1-F37^2)/53),53,2))</f>
        <v>0.13818925578500152</v>
      </c>
      <c r="G40" s="44">
        <f>IF(G37&gt;0,TDIST(G37/SQRT((1-G37^2)/53),53,2),TDIST(-G37/SQRT((1-G37^2)/53),53,2))</f>
        <v>0.05253687836610669</v>
      </c>
      <c r="H40" s="44"/>
    </row>
    <row r="41" spans="1:8" ht="12.75">
      <c r="A41" s="110" t="s">
        <v>20</v>
      </c>
      <c r="B41" s="44">
        <f>TDIST(B38/SQRT((1-B38^2)/53),53,2)</f>
        <v>6.533058723912382E-08</v>
      </c>
      <c r="C41" s="44">
        <f>IF(C38&gt;0,TDIST(C38/SQRT((1-C38^2)/37),37,2),TDIST(-C38/SQRT((1-C38^2)/37),37,2))</f>
        <v>0.01027510611787248</v>
      </c>
      <c r="D41" s="44">
        <f>IF(D38&gt;0,TDIST(D38/SQRT((1-D38^2)/37),37,2),TDIST(-D38/SQRT((1-D38^2)/37),37,2))</f>
        <v>0.01609171939039727</v>
      </c>
      <c r="E41" s="44">
        <f>IF(E38&gt;0,TDIST(E38/SQRT((1-E38^2)/37),37,2),TDIST(-E38/SQRT((1-E38^2)/37),37,2))</f>
        <v>0.010275106117872496</v>
      </c>
      <c r="F41" s="44">
        <f>IF(F38&gt;0,TDIST(F38/SQRT((1-F38^2)/37),37,2),TDIST(-F38/SQRT((1-F38^2)/37),37,2))</f>
        <v>0.0028465705770245584</v>
      </c>
      <c r="G41" s="44">
        <f>IF(G38&gt;0,TDIST(G38/SQRT((1-G38^2)/37),37,2),TDIST(-G38/SQRT((1-G38^2)/37),37,2))</f>
        <v>0.030226704396587978</v>
      </c>
      <c r="H41" s="44"/>
    </row>
    <row r="42" spans="2:7" ht="12.75">
      <c r="B42" s="43"/>
      <c r="C42" s="38"/>
      <c r="D42" s="38"/>
      <c r="E42" s="38"/>
      <c r="F42" s="38"/>
      <c r="G42" s="44"/>
    </row>
    <row r="43" spans="2:7" ht="12.75">
      <c r="B43" s="43"/>
      <c r="C43" s="50"/>
      <c r="D43" s="38"/>
      <c r="E43" s="38"/>
      <c r="F43" s="38"/>
      <c r="G43" s="38"/>
    </row>
    <row r="44" spans="2:7" ht="12.75">
      <c r="B44" s="43"/>
      <c r="C44" s="38"/>
      <c r="D44" s="38"/>
      <c r="E44" s="38"/>
      <c r="F44" s="38"/>
      <c r="G44" s="38"/>
    </row>
    <row r="45" spans="2:7" ht="12.75">
      <c r="B45" s="43"/>
      <c r="C45" s="38"/>
      <c r="D45" s="38"/>
      <c r="E45" s="38"/>
      <c r="F45" s="38"/>
      <c r="G45" s="38"/>
    </row>
    <row r="46" spans="1:10" ht="16.5" thickBot="1">
      <c r="A46" s="102" t="s">
        <v>104</v>
      </c>
      <c r="B46" s="89"/>
      <c r="C46" s="54"/>
      <c r="D46" s="54"/>
      <c r="E46" s="54"/>
      <c r="F46" s="54"/>
      <c r="G46" s="54"/>
      <c r="H46" s="35"/>
      <c r="I46" s="35"/>
      <c r="J46" s="35"/>
    </row>
    <row r="47" spans="2:7" ht="12.75">
      <c r="B47" s="43"/>
      <c r="C47" s="38"/>
      <c r="D47" s="38"/>
      <c r="E47" s="38"/>
      <c r="F47" s="38"/>
      <c r="G47" s="38"/>
    </row>
    <row r="48" spans="2:8" ht="12.75">
      <c r="B48" s="43"/>
      <c r="C48" s="115" t="s">
        <v>89</v>
      </c>
      <c r="D48" s="45"/>
      <c r="E48" s="45"/>
      <c r="F48" s="45"/>
      <c r="G48" s="46"/>
      <c r="H48" s="1"/>
    </row>
    <row r="49" spans="2:10" s="36" customFormat="1" ht="25.5">
      <c r="B49" s="36" t="str">
        <f aca="true" t="shared" si="17" ref="B49:G49">+B11</f>
        <v>IPD Actual</v>
      </c>
      <c r="C49" s="36" t="str">
        <f t="shared" si="17"/>
        <v>Lag 1 Method</v>
      </c>
      <c r="D49" s="36" t="str">
        <f t="shared" si="17"/>
        <v>Lags 1-n Method</v>
      </c>
      <c r="E49" s="36" t="str">
        <f t="shared" si="17"/>
        <v>Equity Volatility</v>
      </c>
      <c r="F49" s="36" t="str">
        <f t="shared" si="17"/>
        <v>Market States</v>
      </c>
      <c r="G49" s="36" t="str">
        <f t="shared" si="17"/>
        <v>Time Varying</v>
      </c>
      <c r="J49" s="71" t="s">
        <v>103</v>
      </c>
    </row>
    <row r="50" spans="2:7" ht="12.75">
      <c r="B50" s="43"/>
      <c r="C50" s="38"/>
      <c r="D50" s="38"/>
      <c r="E50" s="38"/>
      <c r="F50" s="38"/>
      <c r="G50" s="38"/>
    </row>
    <row r="51" spans="1:10" ht="12.75">
      <c r="A51" s="112">
        <v>31867</v>
      </c>
      <c r="B51" s="47">
        <v>2.4737809908295993</v>
      </c>
      <c r="C51" s="152">
        <f>+B51</f>
        <v>2.4737809908295993</v>
      </c>
      <c r="D51" s="152">
        <f>+B51</f>
        <v>2.4737809908295993</v>
      </c>
      <c r="E51" s="152">
        <f>+D51</f>
        <v>2.4737809908295993</v>
      </c>
      <c r="F51" s="152">
        <f>+E51</f>
        <v>2.4737809908295993</v>
      </c>
      <c r="G51" s="152"/>
      <c r="J51" s="24">
        <v>19.696461914109232</v>
      </c>
    </row>
    <row r="52" spans="1:10" ht="12.75">
      <c r="A52" s="112">
        <v>31958</v>
      </c>
      <c r="B52" s="47">
        <v>2.762415347124536</v>
      </c>
      <c r="C52" s="151">
        <f>(B52-$C$4*B51)/(1-$C$4)</f>
        <v>3.342539259845682</v>
      </c>
      <c r="D52" s="152">
        <f>+B52</f>
        <v>2.762415347124536</v>
      </c>
      <c r="E52" s="151">
        <f aca="true" t="shared" si="18" ref="E52:E115">((B52-$E$4*B51)/(1-$E$4))/$E$6</f>
        <v>3.080301676923476</v>
      </c>
      <c r="F52" s="152">
        <f>IF($B52&gt;$H$4,(B52-$F$4*B51)/(1-$F$4),IF(B52&gt;$H$5,(B52-$F$5*B51)/(1-$F$5),IF(B52&gt;$H$6,(B52-$F$6*B51)/(1-$F$6),IF(B52&gt;$H$7,(B52-$F$7*B51)/(1-$F$7),IF(B52&gt;$H$8,(B52-$F$8*B51)/(1-$F$8),(B52-$F$9*B51)/(1-$F$9))))))</f>
        <v>3.1825421612364444</v>
      </c>
      <c r="G52" s="152"/>
      <c r="J52" s="24">
        <v>15.3053877844886</v>
      </c>
    </row>
    <row r="53" spans="1:10" ht="12.75">
      <c r="A53" s="112">
        <v>32050</v>
      </c>
      <c r="B53" s="47">
        <v>5.077359919815505</v>
      </c>
      <c r="C53" s="151">
        <f aca="true" t="shared" si="19" ref="C53:C116">(B53-$C$4*B52)/(1-$C$4)</f>
        <v>9.730148730132274</v>
      </c>
      <c r="D53" s="152">
        <f>+B53</f>
        <v>5.077359919815505</v>
      </c>
      <c r="E53" s="151">
        <f t="shared" si="18"/>
        <v>8.966773796854374</v>
      </c>
      <c r="F53" s="152">
        <f aca="true" t="shared" si="20" ref="F53:F116">IF($B53&gt;$H$4,(B53-$F$4*B52)/(1-$F$4),IF(B53&gt;$H$5,(B53-$F$5*B52)/(1-$F$5),IF(B53&gt;$H$6,(B53-$F$6*B52)/(1-$F$6),IF(B53&gt;$H$7,(B53-$F$7*B52)/(1-$F$7),IF(B53&gt;$H$8,(B53-$F$8*B52)/(1-$F$8),(B53-$F$9*B52)/(1-$F$9))))))</f>
        <v>9.242537051858465</v>
      </c>
      <c r="G53" s="152"/>
      <c r="J53" s="24">
        <v>4.830457028878676</v>
      </c>
    </row>
    <row r="54" spans="1:10" ht="12.75">
      <c r="A54" s="112">
        <v>32142</v>
      </c>
      <c r="B54" s="47">
        <v>5.780280934252846</v>
      </c>
      <c r="C54" s="151">
        <f t="shared" si="19"/>
        <v>7.193076328618934</v>
      </c>
      <c r="D54" s="152">
        <f>+B54</f>
        <v>5.780280934252846</v>
      </c>
      <c r="E54" s="151">
        <f t="shared" si="18"/>
        <v>6.628746397523659</v>
      </c>
      <c r="F54" s="152">
        <f t="shared" si="20"/>
        <v>7.809932468233975</v>
      </c>
      <c r="G54" s="152"/>
      <c r="J54" s="24">
        <v>-28.009596293845128</v>
      </c>
    </row>
    <row r="55" spans="1:10" ht="12.75">
      <c r="A55" s="112">
        <v>32233</v>
      </c>
      <c r="B55" s="47">
        <v>5.335161149842249</v>
      </c>
      <c r="C55" s="151">
        <f t="shared" si="19"/>
        <v>4.440518411269557</v>
      </c>
      <c r="D55" s="151">
        <f>(B55-($D$4*B54+$D$5*B53+$D$6*B52+$D$7*B51))/(1-$D$4-$D$5-$D$6-$D$7)</f>
        <v>4.00091789651895</v>
      </c>
      <c r="E55" s="151">
        <f t="shared" si="18"/>
        <v>4.092139312456326</v>
      </c>
      <c r="F55" s="152">
        <f t="shared" si="20"/>
        <v>4.534276857009373</v>
      </c>
      <c r="G55" s="152"/>
      <c r="I55" s="6"/>
      <c r="J55" s="24">
        <v>3.048654363264469</v>
      </c>
    </row>
    <row r="56" spans="1:10" ht="12.75">
      <c r="A56" s="112">
        <v>32324</v>
      </c>
      <c r="B56" s="47">
        <v>8.36091406358368</v>
      </c>
      <c r="C56" s="151">
        <f t="shared" si="19"/>
        <v>14.442350943722255</v>
      </c>
      <c r="D56" s="151">
        <f aca="true" t="shared" si="21" ref="D56:D119">(B56-($D$4*B55+$D$5*B54+$D$6*B53+$D$7*B52))/(1-$D$4-$D$5-$D$6-$D$7)</f>
        <v>13.985167349673834</v>
      </c>
      <c r="E56" s="151">
        <f t="shared" si="18"/>
        <v>13.309282067406103</v>
      </c>
      <c r="F56" s="152">
        <f t="shared" si="20"/>
        <v>17.097634003218662</v>
      </c>
      <c r="G56" s="152"/>
      <c r="I56" s="6"/>
      <c r="J56" s="24">
        <v>7.388904376916616</v>
      </c>
    </row>
    <row r="57" spans="1:10" ht="12.75">
      <c r="A57" s="112">
        <v>32416</v>
      </c>
      <c r="B57" s="47">
        <v>7.531684448842846</v>
      </c>
      <c r="C57" s="151">
        <f t="shared" si="19"/>
        <v>5.865022396470462</v>
      </c>
      <c r="D57" s="151">
        <f t="shared" si="21"/>
        <v>6.131280331638094</v>
      </c>
      <c r="E57" s="151">
        <f t="shared" si="18"/>
        <v>5.404884406316825</v>
      </c>
      <c r="F57" s="152">
        <f t="shared" si="20"/>
        <v>5.137322742458916</v>
      </c>
      <c r="G57" s="152"/>
      <c r="I57" s="6"/>
      <c r="J57" s="24">
        <v>-1.7382997061297423</v>
      </c>
    </row>
    <row r="58" spans="1:10" ht="12.75">
      <c r="A58" s="112">
        <v>32508</v>
      </c>
      <c r="B58" s="47">
        <v>6.914421108925817</v>
      </c>
      <c r="C58" s="151">
        <f t="shared" si="19"/>
        <v>5.673788397946389</v>
      </c>
      <c r="D58" s="151">
        <f t="shared" si="21"/>
        <v>5.074116760156023</v>
      </c>
      <c r="E58" s="151">
        <f t="shared" si="18"/>
        <v>5.228653594785331</v>
      </c>
      <c r="F58" s="152">
        <f t="shared" si="20"/>
        <v>5.132102101525317</v>
      </c>
      <c r="G58" s="152"/>
      <c r="I58" s="6"/>
      <c r="J58" s="24">
        <v>-2.0797446817504506</v>
      </c>
    </row>
    <row r="59" spans="1:10" ht="12.75">
      <c r="A59" s="112">
        <v>32598</v>
      </c>
      <c r="B59" s="47">
        <v>4.906701406156788</v>
      </c>
      <c r="C59" s="151">
        <f t="shared" si="19"/>
        <v>0.871401435048892</v>
      </c>
      <c r="D59" s="151">
        <f t="shared" si="21"/>
        <v>4.926243031645063</v>
      </c>
      <c r="E59" s="151">
        <f t="shared" si="18"/>
        <v>0.8030359834213431</v>
      </c>
      <c r="F59" s="152">
        <f t="shared" si="20"/>
        <v>1.294300361148272</v>
      </c>
      <c r="G59" s="152"/>
      <c r="I59" s="6"/>
      <c r="J59" s="24">
        <v>16.1409037438349</v>
      </c>
    </row>
    <row r="60" spans="1:10" ht="12.75">
      <c r="A60" s="112">
        <v>32689</v>
      </c>
      <c r="B60" s="47">
        <v>5.309128387147388</v>
      </c>
      <c r="C60" s="151">
        <f t="shared" si="19"/>
        <v>6.11796319736752</v>
      </c>
      <c r="D60" s="151">
        <f t="shared" si="21"/>
        <v>6.065643630824114</v>
      </c>
      <c r="E60" s="151">
        <f t="shared" si="18"/>
        <v>5.637980837681268</v>
      </c>
      <c r="F60" s="152">
        <f t="shared" si="20"/>
        <v>6.033197411655689</v>
      </c>
      <c r="G60" s="152"/>
      <c r="I60" s="6"/>
      <c r="J60" s="24">
        <v>2.37234586256565</v>
      </c>
    </row>
    <row r="61" spans="1:10" ht="12.75">
      <c r="A61" s="112">
        <v>32781</v>
      </c>
      <c r="B61" s="47">
        <v>4.296839546784592</v>
      </c>
      <c r="C61" s="151">
        <f t="shared" si="19"/>
        <v>2.262248202865919</v>
      </c>
      <c r="D61" s="151">
        <f t="shared" si="21"/>
        <v>3.012017902473883</v>
      </c>
      <c r="E61" s="151">
        <f t="shared" si="18"/>
        <v>2.0847644234481564</v>
      </c>
      <c r="F61" s="152">
        <f t="shared" si="20"/>
        <v>2.475473118127441</v>
      </c>
      <c r="G61" s="152"/>
      <c r="J61" s="24">
        <v>6.160591097233303</v>
      </c>
    </row>
    <row r="62" spans="1:10" ht="12.75">
      <c r="A62" s="112">
        <v>32873</v>
      </c>
      <c r="B62" s="47">
        <v>1.290461007994681</v>
      </c>
      <c r="C62" s="151">
        <f t="shared" si="19"/>
        <v>-4.752035468971941</v>
      </c>
      <c r="D62" s="151">
        <f t="shared" si="21"/>
        <v>-3.9711216453403804</v>
      </c>
      <c r="E62" s="151">
        <f t="shared" si="18"/>
        <v>-4.379216423788511</v>
      </c>
      <c r="F62" s="152">
        <f t="shared" si="20"/>
        <v>-5.488344146544473</v>
      </c>
      <c r="G62" s="152"/>
      <c r="J62" s="24">
        <v>3.0054294386729907</v>
      </c>
    </row>
    <row r="63" spans="1:10" ht="12.75">
      <c r="A63" s="112">
        <v>32963</v>
      </c>
      <c r="B63" s="47">
        <v>-0.08918790681514688</v>
      </c>
      <c r="C63" s="151">
        <f t="shared" si="19"/>
        <v>-2.86213336249443</v>
      </c>
      <c r="D63" s="151">
        <f t="shared" si="21"/>
        <v>-0.3474397398656313</v>
      </c>
      <c r="E63" s="151">
        <f t="shared" si="18"/>
        <v>-2.63758583241809</v>
      </c>
      <c r="F63" s="152">
        <f t="shared" si="20"/>
        <v>-5.3668609647186365</v>
      </c>
      <c r="G63" s="152"/>
      <c r="J63" s="24">
        <v>-7.450817630945473</v>
      </c>
    </row>
    <row r="64" spans="1:10" ht="12.75">
      <c r="A64" s="112">
        <v>33054</v>
      </c>
      <c r="B64" s="47">
        <v>-2.3279967320139594</v>
      </c>
      <c r="C64" s="151">
        <f t="shared" si="19"/>
        <v>-6.82776090486184</v>
      </c>
      <c r="D64" s="151">
        <f t="shared" si="21"/>
        <v>-4.645752697025023</v>
      </c>
      <c r="E64" s="151">
        <f t="shared" si="18"/>
        <v>-6.292091649463366</v>
      </c>
      <c r="F64" s="152">
        <f t="shared" si="20"/>
        <v>-10.892277754318116</v>
      </c>
      <c r="G64" s="152"/>
      <c r="J64" s="24">
        <v>5.053186718567804</v>
      </c>
    </row>
    <row r="65" spans="1:10" ht="12.75">
      <c r="A65" s="112">
        <v>33146</v>
      </c>
      <c r="B65" s="47">
        <v>-2.1201066409171854</v>
      </c>
      <c r="C65" s="151">
        <f t="shared" si="19"/>
        <v>-1.7022699889983801</v>
      </c>
      <c r="D65" s="151">
        <f t="shared" si="21"/>
        <v>-2.9038451812362007</v>
      </c>
      <c r="E65" s="151">
        <f t="shared" si="18"/>
        <v>-1.5687190767447556</v>
      </c>
      <c r="F65" s="152">
        <f t="shared" si="20"/>
        <v>-1.3248492960891485</v>
      </c>
      <c r="G65" s="152"/>
      <c r="J65" s="24">
        <v>-17.85226418960454</v>
      </c>
    </row>
    <row r="66" spans="1:10" ht="12.75">
      <c r="A66" s="112">
        <v>33238</v>
      </c>
      <c r="B66" s="47">
        <v>-2.008181442536916</v>
      </c>
      <c r="C66" s="151">
        <f t="shared" si="19"/>
        <v>-1.7832238704379657</v>
      </c>
      <c r="D66" s="151">
        <f t="shared" si="21"/>
        <v>-2.2285699799682406</v>
      </c>
      <c r="E66" s="151">
        <f t="shared" si="18"/>
        <v>-1.6433217537416842</v>
      </c>
      <c r="F66" s="152">
        <f t="shared" si="20"/>
        <v>-1.5800257011369565</v>
      </c>
      <c r="G66" s="152"/>
      <c r="J66" s="24">
        <v>7.2824211685963425</v>
      </c>
    </row>
    <row r="67" spans="1:10" ht="12.75">
      <c r="A67" s="112">
        <v>33328</v>
      </c>
      <c r="B67" s="47">
        <v>-1.6612259030822418</v>
      </c>
      <c r="C67" s="151">
        <f t="shared" si="19"/>
        <v>-0.9638827050221703</v>
      </c>
      <c r="D67" s="151">
        <f t="shared" si="21"/>
        <v>-2.9458015843784295</v>
      </c>
      <c r="E67" s="151">
        <f t="shared" si="18"/>
        <v>-0.8882616722875537</v>
      </c>
      <c r="F67" s="152">
        <f t="shared" si="20"/>
        <v>-0.33399121082525757</v>
      </c>
      <c r="G67" s="152"/>
      <c r="J67" s="24">
        <v>15.604746912085265</v>
      </c>
    </row>
    <row r="68" spans="1:10" ht="12.75">
      <c r="A68" s="112">
        <v>33419</v>
      </c>
      <c r="B68" s="47">
        <v>-0.08515284823775726</v>
      </c>
      <c r="C68" s="151">
        <f t="shared" si="19"/>
        <v>3.08258393489304</v>
      </c>
      <c r="D68" s="151">
        <f t="shared" si="21"/>
        <v>2.009330405224273</v>
      </c>
      <c r="E68" s="151">
        <f t="shared" si="18"/>
        <v>2.840741043187261</v>
      </c>
      <c r="F68" s="152">
        <f t="shared" si="20"/>
        <v>5.943916003664283</v>
      </c>
      <c r="G68" s="152"/>
      <c r="J68" s="24">
        <v>-2.6933036125799337</v>
      </c>
    </row>
    <row r="69" spans="1:10" ht="12.75">
      <c r="A69" s="112">
        <v>33511</v>
      </c>
      <c r="B69" s="47">
        <v>-0.04988938551305777</v>
      </c>
      <c r="C69" s="151">
        <f t="shared" si="19"/>
        <v>0.020986369662272346</v>
      </c>
      <c r="D69" s="151">
        <f t="shared" si="21"/>
        <v>-0.5305582310755479</v>
      </c>
      <c r="E69" s="151">
        <f t="shared" si="18"/>
        <v>0.01933989241048375</v>
      </c>
      <c r="F69" s="152">
        <f t="shared" si="20"/>
        <v>0.08500654717876328</v>
      </c>
      <c r="G69" s="152"/>
      <c r="J69" s="24">
        <v>9.022640567004547</v>
      </c>
    </row>
    <row r="70" spans="1:10" ht="12.75">
      <c r="A70" s="112">
        <v>33603</v>
      </c>
      <c r="B70" s="47">
        <v>1.0673969886024537</v>
      </c>
      <c r="C70" s="151">
        <f t="shared" si="19"/>
        <v>3.3130220462085376</v>
      </c>
      <c r="D70" s="151">
        <f t="shared" si="21"/>
        <v>2.2910256164191765</v>
      </c>
      <c r="E70" s="151">
        <f t="shared" si="18"/>
        <v>3.053100224495718</v>
      </c>
      <c r="F70" s="152">
        <f t="shared" si="20"/>
        <v>3.5866627877120782</v>
      </c>
      <c r="G70" s="152"/>
      <c r="J70" s="24">
        <v>-6.181869885304425</v>
      </c>
    </row>
    <row r="71" spans="1:10" ht="12.75">
      <c r="A71" s="112">
        <v>33694</v>
      </c>
      <c r="B71" s="47">
        <v>0.29798428431702106</v>
      </c>
      <c r="C71" s="151">
        <f t="shared" si="19"/>
        <v>-1.24845223224001</v>
      </c>
      <c r="D71" s="151">
        <f t="shared" si="21"/>
        <v>0.07010484555345613</v>
      </c>
      <c r="E71" s="151">
        <f t="shared" si="18"/>
        <v>-1.1505054108789445</v>
      </c>
      <c r="F71" s="152">
        <f t="shared" si="20"/>
        <v>-2.645307053229984</v>
      </c>
      <c r="G71" s="152">
        <f>(B71-$G$4*CORREL(B52:B71,B51:B70)*B70)/(1-$G$4*CORREL(B52:B71,B51:B70))</f>
        <v>-7.387919841825865</v>
      </c>
      <c r="J71" s="24">
        <v>-1.3462995705986636</v>
      </c>
    </row>
    <row r="72" spans="1:10" ht="12.75">
      <c r="A72" s="112">
        <v>33785</v>
      </c>
      <c r="B72" s="47">
        <v>0.38610065196300614</v>
      </c>
      <c r="C72" s="151">
        <f t="shared" si="19"/>
        <v>0.563205043241116</v>
      </c>
      <c r="D72" s="151">
        <f t="shared" si="21"/>
        <v>0.4184209845306376</v>
      </c>
      <c r="E72" s="151">
        <f t="shared" si="18"/>
        <v>0.5190190164669786</v>
      </c>
      <c r="F72" s="152">
        <f t="shared" si="20"/>
        <v>0.7231787118182824</v>
      </c>
      <c r="G72" s="152">
        <f aca="true" t="shared" si="22" ref="G72:G126">(B72-$G$4*CORREL(B53:B72,B52:B71)*B71)/(1-$G$4*CORREL(B53:B72,B52:B71))</f>
        <v>1.288956762098427</v>
      </c>
      <c r="J72" s="24">
        <v>3.832859666641042</v>
      </c>
    </row>
    <row r="73" spans="1:10" ht="12.75">
      <c r="A73" s="112">
        <v>33877</v>
      </c>
      <c r="B73" s="47">
        <v>-0.814211534552256</v>
      </c>
      <c r="C73" s="151">
        <f t="shared" si="19"/>
        <v>-3.2267095166586315</v>
      </c>
      <c r="D73" s="151">
        <f t="shared" si="21"/>
        <v>-1.3681866487286922</v>
      </c>
      <c r="E73" s="151">
        <f t="shared" si="18"/>
        <v>-2.973559309986203</v>
      </c>
      <c r="F73" s="152">
        <f t="shared" si="20"/>
        <v>-5.405854538684238</v>
      </c>
      <c r="G73" s="152">
        <f t="shared" si="22"/>
        <v>-15.29673185595299</v>
      </c>
      <c r="J73" s="24">
        <v>-0.8597590044549741</v>
      </c>
    </row>
    <row r="74" spans="1:10" ht="12.75">
      <c r="A74" s="112">
        <v>33969</v>
      </c>
      <c r="B74" s="47">
        <v>0.05146511533571374</v>
      </c>
      <c r="C74" s="151">
        <f t="shared" si="19"/>
        <v>1.7913817757459425</v>
      </c>
      <c r="D74" s="151">
        <f t="shared" si="21"/>
        <v>0.9859357291890206</v>
      </c>
      <c r="E74" s="151">
        <f t="shared" si="18"/>
        <v>1.6508396338462559</v>
      </c>
      <c r="F74" s="152">
        <f t="shared" si="20"/>
        <v>3.363002045439161</v>
      </c>
      <c r="G74" s="152">
        <f t="shared" si="22"/>
        <v>10.2039563514408</v>
      </c>
      <c r="J74" s="24">
        <v>13.068747098229094</v>
      </c>
    </row>
    <row r="75" spans="1:10" ht="12.75">
      <c r="A75" s="112">
        <v>34059</v>
      </c>
      <c r="B75" s="47">
        <v>0.8328553633037084</v>
      </c>
      <c r="C75" s="151">
        <f t="shared" si="19"/>
        <v>2.403365450294663</v>
      </c>
      <c r="D75" s="151">
        <f t="shared" si="21"/>
        <v>2.038462246125331</v>
      </c>
      <c r="E75" s="151">
        <f t="shared" si="18"/>
        <v>2.2148103735793905</v>
      </c>
      <c r="F75" s="152">
        <f t="shared" si="20"/>
        <v>2.5947400269575764</v>
      </c>
      <c r="G75" s="152">
        <f t="shared" si="22"/>
        <v>9.251073037227075</v>
      </c>
      <c r="J75" s="24">
        <v>3.2468341900145914</v>
      </c>
    </row>
    <row r="76" spans="1:10" ht="12.75">
      <c r="A76" s="112">
        <v>34150</v>
      </c>
      <c r="B76" s="47">
        <v>2.5186747793105146</v>
      </c>
      <c r="C76" s="151">
        <f t="shared" si="19"/>
        <v>5.906989906827097</v>
      </c>
      <c r="D76" s="151">
        <f t="shared" si="21"/>
        <v>3.348647919579684</v>
      </c>
      <c r="E76" s="151">
        <f t="shared" si="18"/>
        <v>5.443559372406472</v>
      </c>
      <c r="F76" s="152">
        <f t="shared" si="20"/>
        <v>4.972498882256924</v>
      </c>
      <c r="G76" s="152">
        <f t="shared" si="22"/>
        <v>23.849685909523565</v>
      </c>
      <c r="J76" s="24">
        <v>1.7215053228887944</v>
      </c>
    </row>
    <row r="77" spans="1:10" ht="12.75">
      <c r="A77" s="112">
        <v>34242</v>
      </c>
      <c r="B77" s="47">
        <v>3.902541839719409</v>
      </c>
      <c r="C77" s="151">
        <f t="shared" si="19"/>
        <v>6.683965312918053</v>
      </c>
      <c r="D77" s="151">
        <f t="shared" si="21"/>
        <v>5.58858111940915</v>
      </c>
      <c r="E77" s="151">
        <f t="shared" si="18"/>
        <v>6.159577483266527</v>
      </c>
      <c r="F77" s="152">
        <f t="shared" si="20"/>
        <v>5.545255236588747</v>
      </c>
      <c r="G77" s="152">
        <f t="shared" si="22"/>
        <v>15.91977840104231</v>
      </c>
      <c r="J77" s="24">
        <v>5.183235472767755</v>
      </c>
    </row>
    <row r="78" spans="1:10" ht="12.75">
      <c r="A78" s="112">
        <v>34334</v>
      </c>
      <c r="B78" s="47">
        <v>8.271170590218402</v>
      </c>
      <c r="C78" s="151">
        <f t="shared" si="19"/>
        <v>17.05164300693889</v>
      </c>
      <c r="D78" s="151">
        <f t="shared" si="21"/>
        <v>13.65749336554854</v>
      </c>
      <c r="E78" s="151">
        <f t="shared" si="18"/>
        <v>15.713863163719205</v>
      </c>
      <c r="F78" s="152">
        <f t="shared" si="20"/>
        <v>20.885381664761177</v>
      </c>
      <c r="G78" s="152">
        <f t="shared" si="22"/>
        <v>28.25522190946336</v>
      </c>
      <c r="J78" s="24">
        <v>11.657097341608313</v>
      </c>
    </row>
    <row r="79" spans="1:10" ht="12.75">
      <c r="A79" s="112">
        <v>34424</v>
      </c>
      <c r="B79" s="47">
        <v>7.829869442528192</v>
      </c>
      <c r="C79" s="151">
        <f t="shared" si="19"/>
        <v>6.942901751735427</v>
      </c>
      <c r="D79" s="151">
        <f t="shared" si="21"/>
        <v>6.659136398317423</v>
      </c>
      <c r="E79" s="151">
        <f t="shared" si="18"/>
        <v>6.398199167172364</v>
      </c>
      <c r="F79" s="152">
        <f t="shared" si="20"/>
        <v>6.555633030526728</v>
      </c>
      <c r="G79" s="152">
        <f t="shared" si="22"/>
        <v>5.111163599597036</v>
      </c>
      <c r="J79" s="24">
        <v>-7.145532258927457</v>
      </c>
    </row>
    <row r="80" spans="1:10" ht="12.75">
      <c r="A80" s="112">
        <v>34515</v>
      </c>
      <c r="B80" s="47">
        <v>3.8602585792494093</v>
      </c>
      <c r="C80" s="151">
        <f t="shared" si="19"/>
        <v>-4.118230937890758</v>
      </c>
      <c r="D80" s="151">
        <f t="shared" si="21"/>
        <v>-1.6265192223156946</v>
      </c>
      <c r="E80" s="151">
        <f t="shared" si="18"/>
        <v>-3.7951367741088844</v>
      </c>
      <c r="F80" s="152">
        <f t="shared" si="20"/>
        <v>-0.851850793120044</v>
      </c>
      <c r="G80" s="152">
        <f t="shared" si="22"/>
        <v>-14.312507923532198</v>
      </c>
      <c r="J80" s="24">
        <v>-6.313821648303131</v>
      </c>
    </row>
    <row r="81" spans="1:10" ht="12.75">
      <c r="A81" s="112">
        <v>34607</v>
      </c>
      <c r="B81" s="47">
        <v>1.8391548819377768</v>
      </c>
      <c r="C81" s="151">
        <f t="shared" si="19"/>
        <v>-2.223045474077729</v>
      </c>
      <c r="D81" s="151">
        <f t="shared" si="21"/>
        <v>3.765868938795073</v>
      </c>
      <c r="E81" s="151">
        <f t="shared" si="18"/>
        <v>-2.0486373290930064</v>
      </c>
      <c r="F81" s="152">
        <f t="shared" si="20"/>
        <v>-1.1026981539969838</v>
      </c>
      <c r="G81" s="152">
        <f t="shared" si="22"/>
        <v>-6.365107771607986</v>
      </c>
      <c r="J81" s="24">
        <v>3.2541770594867847</v>
      </c>
    </row>
    <row r="82" spans="1:10" ht="12.75">
      <c r="A82" s="112">
        <v>34699</v>
      </c>
      <c r="B82" s="47">
        <v>1.0562132345544928</v>
      </c>
      <c r="C82" s="151">
        <f t="shared" si="19"/>
        <v>-0.5174149978663544</v>
      </c>
      <c r="D82" s="151">
        <f t="shared" si="21"/>
        <v>1.594201391368802</v>
      </c>
      <c r="E82" s="151">
        <f t="shared" si="18"/>
        <v>-0.4768214108176758</v>
      </c>
      <c r="F82" s="152">
        <f t="shared" si="20"/>
        <v>-0.7091695362796326</v>
      </c>
      <c r="G82" s="152">
        <f t="shared" si="22"/>
        <v>-2.5416132891376852</v>
      </c>
      <c r="J82" s="24">
        <v>0.6929323547125277</v>
      </c>
    </row>
    <row r="83" spans="1:10" ht="12.75">
      <c r="A83" s="112">
        <v>34789</v>
      </c>
      <c r="B83" s="47">
        <v>0.9093684426683568</v>
      </c>
      <c r="C83" s="151">
        <f t="shared" si="19"/>
        <v>0.6142262554206983</v>
      </c>
      <c r="D83" s="151">
        <f t="shared" si="21"/>
        <v>-1.3090858322120822</v>
      </c>
      <c r="E83" s="151">
        <f t="shared" si="18"/>
        <v>0.5660373798182864</v>
      </c>
      <c r="F83" s="152">
        <f t="shared" si="20"/>
        <v>0.5782616910363295</v>
      </c>
      <c r="G83" s="152">
        <f t="shared" si="22"/>
        <v>0.2105480389315298</v>
      </c>
      <c r="J83" s="24">
        <v>1.1305079398464368</v>
      </c>
    </row>
    <row r="84" spans="1:10" ht="12.75">
      <c r="A84" s="112">
        <v>34880</v>
      </c>
      <c r="B84" s="47">
        <v>0.43130052376594286</v>
      </c>
      <c r="C84" s="151">
        <f t="shared" si="19"/>
        <v>-0.5295644100561743</v>
      </c>
      <c r="D84" s="151">
        <f t="shared" si="21"/>
        <v>-1.3901553346749032</v>
      </c>
      <c r="E84" s="151">
        <f t="shared" si="18"/>
        <v>-0.48801764572552386</v>
      </c>
      <c r="F84" s="152">
        <f t="shared" si="20"/>
        <v>-1.3974880530634348</v>
      </c>
      <c r="G84" s="152">
        <f t="shared" si="22"/>
        <v>-2.0007642138489743</v>
      </c>
      <c r="J84" s="24">
        <v>5.515910154422077</v>
      </c>
    </row>
    <row r="85" spans="1:10" ht="12.75">
      <c r="A85" s="112">
        <v>34972</v>
      </c>
      <c r="B85" s="47">
        <v>0.9354032363124487</v>
      </c>
      <c r="C85" s="151">
        <f t="shared" si="19"/>
        <v>1.9485952962243824</v>
      </c>
      <c r="D85" s="151">
        <f t="shared" si="21"/>
        <v>1.2266279894108922</v>
      </c>
      <c r="E85" s="151">
        <f t="shared" si="18"/>
        <v>1.7957190303524735</v>
      </c>
      <c r="F85" s="152">
        <f t="shared" si="20"/>
        <v>2.072057859852596</v>
      </c>
      <c r="G85" s="152">
        <f t="shared" si="22"/>
        <v>3.25527662940575</v>
      </c>
      <c r="J85" s="24">
        <v>6.7889942162352</v>
      </c>
    </row>
    <row r="86" spans="1:10" ht="12.75">
      <c r="A86" s="112">
        <v>35064</v>
      </c>
      <c r="B86" s="47">
        <v>0.8870251955413577</v>
      </c>
      <c r="C86" s="151">
        <f t="shared" si="19"/>
        <v>0.7897905535459664</v>
      </c>
      <c r="D86" s="151">
        <f t="shared" si="21"/>
        <v>0.7069532448738006</v>
      </c>
      <c r="E86" s="151">
        <f t="shared" si="18"/>
        <v>0.7278278510386973</v>
      </c>
      <c r="F86" s="152">
        <f t="shared" si="20"/>
        <v>0.7779420219109416</v>
      </c>
      <c r="G86" s="152">
        <f t="shared" si="22"/>
        <v>0.6873892205351994</v>
      </c>
      <c r="J86" s="24">
        <v>4.000622934366915</v>
      </c>
    </row>
    <row r="87" spans="1:10" ht="12.75">
      <c r="A87" s="112">
        <v>35155</v>
      </c>
      <c r="B87" s="47">
        <v>1.762839617373091</v>
      </c>
      <c r="C87" s="151">
        <f t="shared" si="19"/>
        <v>3.5231321055322558</v>
      </c>
      <c r="D87" s="151">
        <f t="shared" si="21"/>
        <v>2.4275639151124055</v>
      </c>
      <c r="E87" s="151">
        <f t="shared" si="18"/>
        <v>3.246726183014219</v>
      </c>
      <c r="F87" s="152">
        <f t="shared" si="20"/>
        <v>3.7376326251499354</v>
      </c>
      <c r="G87" s="152">
        <f t="shared" si="22"/>
        <v>4.937725910841238</v>
      </c>
      <c r="J87" s="24">
        <v>2.2378250669683686</v>
      </c>
    </row>
    <row r="88" spans="1:10" ht="12.75">
      <c r="A88" s="112">
        <v>35246</v>
      </c>
      <c r="B88" s="47">
        <v>2.110307296918168</v>
      </c>
      <c r="C88" s="151">
        <f t="shared" si="19"/>
        <v>2.8086798413004157</v>
      </c>
      <c r="D88" s="151">
        <f t="shared" si="21"/>
        <v>2.6781330867087947</v>
      </c>
      <c r="E88" s="151">
        <f t="shared" si="18"/>
        <v>2.588325985884832</v>
      </c>
      <c r="F88" s="152">
        <f t="shared" si="20"/>
        <v>2.6160699895096307</v>
      </c>
      <c r="G88" s="152">
        <f t="shared" si="22"/>
        <v>3.3245702884607256</v>
      </c>
      <c r="J88" s="24">
        <v>0.6992362105628258</v>
      </c>
    </row>
    <row r="89" spans="1:10" ht="12.75">
      <c r="A89" s="112">
        <v>35338</v>
      </c>
      <c r="B89" s="47">
        <v>2.097215334750824</v>
      </c>
      <c r="C89" s="151">
        <f t="shared" si="19"/>
        <v>2.070901903407411</v>
      </c>
      <c r="D89" s="151">
        <f t="shared" si="21"/>
        <v>1.6566633737524445</v>
      </c>
      <c r="E89" s="151">
        <f t="shared" si="18"/>
        <v>1.9084301215071957</v>
      </c>
      <c r="F89" s="152">
        <f t="shared" si="20"/>
        <v>2.078159098942847</v>
      </c>
      <c r="G89" s="152">
        <f t="shared" si="22"/>
        <v>2.0534706331125734</v>
      </c>
      <c r="J89" s="24">
        <v>4.776629155376466</v>
      </c>
    </row>
    <row r="90" spans="1:10" ht="12.75">
      <c r="A90" s="112">
        <v>35430</v>
      </c>
      <c r="B90" s="47">
        <v>3.0739994243533353</v>
      </c>
      <c r="C90" s="151">
        <f t="shared" si="19"/>
        <v>5.037230050179951</v>
      </c>
      <c r="D90" s="151">
        <f t="shared" si="21"/>
        <v>4.904322761762646</v>
      </c>
      <c r="E90" s="151">
        <f t="shared" si="18"/>
        <v>4.642036178008865</v>
      </c>
      <c r="F90" s="152">
        <f t="shared" si="20"/>
        <v>4.233486744880176</v>
      </c>
      <c r="G90" s="152">
        <f t="shared" si="22"/>
        <v>6.280202732699632</v>
      </c>
      <c r="J90" s="24">
        <v>3.5300771208226056</v>
      </c>
    </row>
    <row r="91" spans="1:10" ht="12.75">
      <c r="A91" s="112">
        <v>35520</v>
      </c>
      <c r="B91" s="47">
        <v>2.989721488800945</v>
      </c>
      <c r="C91" s="151">
        <f t="shared" si="19"/>
        <v>2.8203319318670013</v>
      </c>
      <c r="D91" s="151">
        <f t="shared" si="21"/>
        <v>2.8276174107223087</v>
      </c>
      <c r="E91" s="151">
        <f t="shared" si="18"/>
        <v>2.5990639163388116</v>
      </c>
      <c r="F91" s="152">
        <f t="shared" si="20"/>
        <v>2.8670492573380555</v>
      </c>
      <c r="G91" s="152">
        <f t="shared" si="22"/>
        <v>2.712382741288846</v>
      </c>
      <c r="J91" s="24">
        <v>4.272816662197165</v>
      </c>
    </row>
    <row r="92" spans="1:10" ht="12.75">
      <c r="A92" s="112">
        <v>35611</v>
      </c>
      <c r="B92" s="47">
        <v>3.4996158421271906</v>
      </c>
      <c r="C92" s="151">
        <f t="shared" si="19"/>
        <v>4.524448475092683</v>
      </c>
      <c r="D92" s="151">
        <f t="shared" si="21"/>
        <v>3.8824475889061736</v>
      </c>
      <c r="E92" s="151">
        <f t="shared" si="18"/>
        <v>4.169484676636313</v>
      </c>
      <c r="F92" s="152">
        <f t="shared" si="20"/>
        <v>4.104883724541821</v>
      </c>
      <c r="G92" s="152">
        <f t="shared" si="22"/>
        <v>5.117344521355877</v>
      </c>
      <c r="J92" s="24">
        <v>4.039624708291645</v>
      </c>
    </row>
    <row r="93" spans="1:10" ht="12.75">
      <c r="A93" s="112">
        <v>35703</v>
      </c>
      <c r="B93" s="47">
        <v>3.49383786478219</v>
      </c>
      <c r="C93" s="151">
        <f t="shared" si="19"/>
        <v>3.4822247537581834</v>
      </c>
      <c r="D93" s="151">
        <f t="shared" si="21"/>
        <v>4.068003221815109</v>
      </c>
      <c r="E93" s="151">
        <f t="shared" si="18"/>
        <v>3.2090282011888713</v>
      </c>
      <c r="F93" s="152">
        <f t="shared" si="20"/>
        <v>3.4869791418145115</v>
      </c>
      <c r="G93" s="152">
        <f t="shared" si="22"/>
        <v>3.475971507990183</v>
      </c>
      <c r="J93" s="24">
        <v>12.382582901506979</v>
      </c>
    </row>
    <row r="94" spans="1:10" ht="12.75">
      <c r="A94" s="112">
        <v>35795</v>
      </c>
      <c r="B94" s="47">
        <v>4.632680253214216</v>
      </c>
      <c r="C94" s="151">
        <f t="shared" si="19"/>
        <v>6.921630573718636</v>
      </c>
      <c r="D94" s="151">
        <f t="shared" si="21"/>
        <v>5.919370279547571</v>
      </c>
      <c r="E94" s="151">
        <f t="shared" si="18"/>
        <v>6.378596810933089</v>
      </c>
      <c r="F94" s="152">
        <f t="shared" si="20"/>
        <v>6.68174886991301</v>
      </c>
      <c r="G94" s="152">
        <f t="shared" si="22"/>
        <v>7.771560448006235</v>
      </c>
      <c r="J94" s="24">
        <v>-1.7930607489959338</v>
      </c>
    </row>
    <row r="95" spans="1:10" ht="12.75">
      <c r="A95" s="112">
        <v>35885</v>
      </c>
      <c r="B95" s="47">
        <v>3.27540133348736</v>
      </c>
      <c r="C95" s="151">
        <f t="shared" si="19"/>
        <v>0.547417154219072</v>
      </c>
      <c r="D95" s="151">
        <f t="shared" si="21"/>
        <v>1.4928063507997498</v>
      </c>
      <c r="E95" s="151">
        <f t="shared" si="18"/>
        <v>0.5044697599738988</v>
      </c>
      <c r="F95" s="152">
        <f t="shared" si="20"/>
        <v>1.664249273791063</v>
      </c>
      <c r="G95" s="152">
        <f t="shared" si="22"/>
        <v>-0.05342867494690458</v>
      </c>
      <c r="J95" s="24">
        <v>15.373703857320642</v>
      </c>
    </row>
    <row r="96" spans="1:10" ht="12.75">
      <c r="A96" s="112">
        <v>35976</v>
      </c>
      <c r="B96" s="47">
        <v>3.8138203593347964</v>
      </c>
      <c r="C96" s="151">
        <f t="shared" si="19"/>
        <v>4.895984506277001</v>
      </c>
      <c r="D96" s="151">
        <f t="shared" si="21"/>
        <v>4.5919071017457735</v>
      </c>
      <c r="E96" s="151">
        <f t="shared" si="18"/>
        <v>4.5118719968520775</v>
      </c>
      <c r="F96" s="152">
        <f t="shared" si="20"/>
        <v>4.4529483306498925</v>
      </c>
      <c r="G96" s="152">
        <f t="shared" si="22"/>
        <v>5.181897724333249</v>
      </c>
      <c r="J96" s="24">
        <v>-1.3732807028896232</v>
      </c>
    </row>
    <row r="97" spans="1:10" ht="12.75">
      <c r="A97" s="112">
        <v>36068</v>
      </c>
      <c r="B97" s="47">
        <v>2.8373764053630346</v>
      </c>
      <c r="C97" s="151">
        <f t="shared" si="19"/>
        <v>0.8748294154538451</v>
      </c>
      <c r="D97" s="151">
        <f t="shared" si="21"/>
        <v>2.6393141835571496</v>
      </c>
      <c r="E97" s="151">
        <f t="shared" si="18"/>
        <v>0.806195022992452</v>
      </c>
      <c r="F97" s="152">
        <f t="shared" si="20"/>
        <v>1.4160962334288127</v>
      </c>
      <c r="G97" s="152">
        <f t="shared" si="22"/>
        <v>0.2942590307905498</v>
      </c>
      <c r="J97" s="24">
        <v>-14.530556304812158</v>
      </c>
    </row>
    <row r="98" spans="1:10" ht="12.75">
      <c r="A98" s="112">
        <v>36160</v>
      </c>
      <c r="B98" s="47">
        <v>1.7184091390404</v>
      </c>
      <c r="C98" s="151">
        <f t="shared" si="19"/>
        <v>-0.5305943305349866</v>
      </c>
      <c r="D98" s="151">
        <f t="shared" si="21"/>
        <v>-0.6206480324575278</v>
      </c>
      <c r="E98" s="151">
        <f t="shared" si="18"/>
        <v>-0.4889667642044284</v>
      </c>
      <c r="F98" s="152">
        <f t="shared" si="20"/>
        <v>-0.8046467485796545</v>
      </c>
      <c r="G98" s="152">
        <f t="shared" si="22"/>
        <v>-3.5575637923302894</v>
      </c>
      <c r="J98" s="24">
        <v>14.03519246679914</v>
      </c>
    </row>
    <row r="99" spans="1:10" ht="12.75">
      <c r="A99" s="112">
        <v>36250</v>
      </c>
      <c r="B99" s="47">
        <v>2.0915613007296274</v>
      </c>
      <c r="C99" s="151">
        <f t="shared" si="19"/>
        <v>2.8415568828851594</v>
      </c>
      <c r="D99" s="151">
        <f t="shared" si="21"/>
        <v>3.6449708210415332</v>
      </c>
      <c r="E99" s="151">
        <f t="shared" si="18"/>
        <v>2.618623672300173</v>
      </c>
      <c r="F99" s="152">
        <f t="shared" si="20"/>
        <v>2.6347094930718877</v>
      </c>
      <c r="G99" s="152">
        <f t="shared" si="22"/>
        <v>3.0151714477114835</v>
      </c>
      <c r="J99" s="24">
        <v>8.260157371948317</v>
      </c>
    </row>
    <row r="100" spans="1:10" ht="12.75">
      <c r="A100" s="112">
        <v>36341</v>
      </c>
      <c r="B100" s="47">
        <v>3.698241464086971</v>
      </c>
      <c r="C100" s="151">
        <f t="shared" si="19"/>
        <v>6.927495232844444</v>
      </c>
      <c r="D100" s="151">
        <f t="shared" si="21"/>
        <v>5.346080449392269</v>
      </c>
      <c r="E100" s="151">
        <f t="shared" si="18"/>
        <v>6.384001360568998</v>
      </c>
      <c r="F100" s="152">
        <f t="shared" si="20"/>
        <v>5.6054441892183</v>
      </c>
      <c r="G100" s="152">
        <f t="shared" si="22"/>
        <v>7.593103612370739</v>
      </c>
      <c r="J100" s="24">
        <v>1.7749128606911135</v>
      </c>
    </row>
    <row r="101" spans="1:10" ht="12.75">
      <c r="A101" s="112">
        <v>36433</v>
      </c>
      <c r="B101" s="47">
        <v>3.6758468810899725</v>
      </c>
      <c r="C101" s="151">
        <f t="shared" si="19"/>
        <v>3.630836185624801</v>
      </c>
      <c r="D101" s="151">
        <f t="shared" si="21"/>
        <v>2.1976430791691306</v>
      </c>
      <c r="E101" s="151">
        <f t="shared" si="18"/>
        <v>3.3459803825104077</v>
      </c>
      <c r="F101" s="152">
        <f t="shared" si="20"/>
        <v>3.649263488393565</v>
      </c>
      <c r="G101" s="152">
        <f t="shared" si="22"/>
        <v>3.5912440633558944</v>
      </c>
      <c r="J101" s="24">
        <v>-4.075121259126268</v>
      </c>
    </row>
    <row r="102" spans="1:10" ht="12.75">
      <c r="A102" s="112">
        <v>36525</v>
      </c>
      <c r="B102" s="47">
        <v>3.985153863461477</v>
      </c>
      <c r="C102" s="151">
        <f t="shared" si="19"/>
        <v>4.606827524035595</v>
      </c>
      <c r="D102" s="151">
        <f t="shared" si="21"/>
        <v>4.166472920570491</v>
      </c>
      <c r="E102" s="151">
        <f t="shared" si="18"/>
        <v>4.245400710189179</v>
      </c>
      <c r="F102" s="152">
        <f t="shared" si="20"/>
        <v>4.352315376458808</v>
      </c>
      <c r="G102" s="152">
        <f t="shared" si="22"/>
        <v>5.297426459287929</v>
      </c>
      <c r="J102" s="24">
        <v>14.718110760019965</v>
      </c>
    </row>
    <row r="103" spans="1:10" ht="12.75">
      <c r="A103" s="112">
        <v>36616</v>
      </c>
      <c r="B103" s="47">
        <v>3.1216701049864293</v>
      </c>
      <c r="C103" s="151">
        <f t="shared" si="19"/>
        <v>1.386160919704827</v>
      </c>
      <c r="D103" s="151">
        <f t="shared" si="21"/>
        <v>3.0660199132149906</v>
      </c>
      <c r="E103" s="151">
        <f t="shared" si="18"/>
        <v>1.2774102182571503</v>
      </c>
      <c r="F103" s="152">
        <f t="shared" si="20"/>
        <v>2.0966754515209916</v>
      </c>
      <c r="G103" s="152">
        <f t="shared" si="22"/>
        <v>0.0054033925653577215</v>
      </c>
      <c r="J103" s="24">
        <v>-4.056063120361763</v>
      </c>
    </row>
    <row r="104" spans="1:10" ht="12.75">
      <c r="A104" s="112">
        <v>36707</v>
      </c>
      <c r="B104" s="47">
        <v>2.597899510228485</v>
      </c>
      <c r="C104" s="151">
        <f t="shared" si="19"/>
        <v>1.5451771292213756</v>
      </c>
      <c r="D104" s="151">
        <f t="shared" si="21"/>
        <v>2.0634191158219592</v>
      </c>
      <c r="E104" s="151">
        <f t="shared" si="18"/>
        <v>1.4239508745528233</v>
      </c>
      <c r="F104" s="152">
        <f t="shared" si="20"/>
        <v>1.835516008396501</v>
      </c>
      <c r="G104" s="152">
        <f t="shared" si="22"/>
        <v>1.058790125280055</v>
      </c>
      <c r="J104" s="24">
        <v>-2.59824597500129</v>
      </c>
    </row>
    <row r="105" spans="1:10" ht="12.75">
      <c r="A105" s="112">
        <v>36799</v>
      </c>
      <c r="B105" s="47">
        <v>2.3361564834381676</v>
      </c>
      <c r="C105" s="151">
        <f t="shared" si="19"/>
        <v>1.8100812414669178</v>
      </c>
      <c r="D105" s="151">
        <f t="shared" si="21"/>
        <v>2.656138301605324</v>
      </c>
      <c r="E105" s="151">
        <f t="shared" si="18"/>
        <v>1.6680720404509737</v>
      </c>
      <c r="F105" s="152">
        <f t="shared" si="20"/>
        <v>1.9551718169798975</v>
      </c>
      <c r="G105" s="152">
        <f t="shared" si="22"/>
        <v>1.7759919168446643</v>
      </c>
      <c r="J105" s="24">
        <v>-0.012542330364972987</v>
      </c>
    </row>
    <row r="106" spans="1:10" ht="12.75">
      <c r="A106" s="112">
        <v>36891</v>
      </c>
      <c r="B106" s="47">
        <v>2.0664121667723467</v>
      </c>
      <c r="C106" s="151">
        <f t="shared" si="19"/>
        <v>1.5242551954845431</v>
      </c>
      <c r="D106" s="151">
        <f t="shared" si="21"/>
        <v>1.3245416321774008</v>
      </c>
      <c r="E106" s="151">
        <f t="shared" si="18"/>
        <v>1.404670362772979</v>
      </c>
      <c r="F106" s="152">
        <f t="shared" si="20"/>
        <v>1.6737810821006256</v>
      </c>
      <c r="G106" s="152">
        <f t="shared" si="22"/>
        <v>1.6545604825640838</v>
      </c>
      <c r="J106" s="24">
        <v>-1.5036179258985594</v>
      </c>
    </row>
    <row r="107" spans="1:10" ht="12.75">
      <c r="A107" s="112">
        <v>36981</v>
      </c>
      <c r="B107" s="47">
        <v>1.7898504864086062</v>
      </c>
      <c r="C107" s="151">
        <f t="shared" si="19"/>
        <v>1.2339913496764403</v>
      </c>
      <c r="D107" s="151">
        <f t="shared" si="21"/>
        <v>1.2077027071229147</v>
      </c>
      <c r="E107" s="151">
        <f t="shared" si="18"/>
        <v>1.1371790510825264</v>
      </c>
      <c r="F107" s="152">
        <f t="shared" si="20"/>
        <v>1.1662571097899923</v>
      </c>
      <c r="G107" s="152">
        <f t="shared" si="22"/>
        <v>1.4224257671039797</v>
      </c>
      <c r="J107" s="24">
        <v>-9.129602756207678</v>
      </c>
    </row>
    <row r="108" spans="1:10" ht="12.75">
      <c r="A108" s="112">
        <v>37072</v>
      </c>
      <c r="B108" s="47">
        <v>1.6846009614537083</v>
      </c>
      <c r="C108" s="151">
        <f t="shared" si="19"/>
        <v>1.4730607726395735</v>
      </c>
      <c r="D108" s="151">
        <f t="shared" si="21"/>
        <v>1.5263021555768386</v>
      </c>
      <c r="E108" s="151">
        <f t="shared" si="18"/>
        <v>1.357492377929872</v>
      </c>
      <c r="F108" s="152">
        <f t="shared" si="20"/>
        <v>1.4472835335012606</v>
      </c>
      <c r="G108" s="152">
        <f t="shared" si="22"/>
        <v>1.5339965529251</v>
      </c>
      <c r="J108" s="24">
        <v>0.6166556022718872</v>
      </c>
    </row>
    <row r="109" spans="1:10" ht="12.75">
      <c r="A109" s="112">
        <v>37164</v>
      </c>
      <c r="B109" s="47">
        <v>1.5380301030188281</v>
      </c>
      <c r="C109" s="151">
        <f t="shared" si="19"/>
        <v>1.2434384924509791</v>
      </c>
      <c r="D109" s="151">
        <f t="shared" si="21"/>
        <v>1.2669974076235395</v>
      </c>
      <c r="E109" s="151">
        <f t="shared" si="18"/>
        <v>1.1458850220430263</v>
      </c>
      <c r="F109" s="152">
        <f t="shared" si="20"/>
        <v>1.2075410186124726</v>
      </c>
      <c r="G109" s="152">
        <f t="shared" si="22"/>
        <v>1.3002617345572052</v>
      </c>
      <c r="J109" s="24">
        <v>-14.209052387724885</v>
      </c>
    </row>
    <row r="110" spans="1:10" ht="12.75">
      <c r="A110" s="112">
        <v>37256</v>
      </c>
      <c r="B110" s="47">
        <v>1.8704270493729247</v>
      </c>
      <c r="C110" s="151">
        <f t="shared" si="19"/>
        <v>2.5385090461621678</v>
      </c>
      <c r="D110" s="151">
        <f t="shared" si="21"/>
        <v>2.18754706949339</v>
      </c>
      <c r="E110" s="151">
        <f t="shared" si="18"/>
        <v>2.339351332597285</v>
      </c>
      <c r="F110" s="152">
        <f t="shared" si="20"/>
        <v>2.3542532711882354</v>
      </c>
      <c r="G110" s="152">
        <f t="shared" si="22"/>
        <v>2.559431269508201</v>
      </c>
      <c r="J110" s="24">
        <v>7.8359994531035815</v>
      </c>
    </row>
    <row r="111" spans="1:10" ht="12.75">
      <c r="A111" s="112">
        <v>37346</v>
      </c>
      <c r="B111" s="47">
        <v>1.900353307003888</v>
      </c>
      <c r="C111" s="151">
        <f t="shared" si="19"/>
        <v>1.9605018558212561</v>
      </c>
      <c r="D111" s="151">
        <f t="shared" si="21"/>
        <v>1.8038644371103307</v>
      </c>
      <c r="E111" s="151">
        <f t="shared" si="18"/>
        <v>1.8066914655705815</v>
      </c>
      <c r="F111" s="152">
        <f t="shared" si="20"/>
        <v>1.9439129976733571</v>
      </c>
      <c r="G111" s="152">
        <f t="shared" si="22"/>
        <v>1.9674858865906448</v>
      </c>
      <c r="J111" s="24">
        <v>1.328113856443247</v>
      </c>
    </row>
    <row r="112" spans="1:10" ht="12.75">
      <c r="A112" s="112">
        <v>37437</v>
      </c>
      <c r="B112" s="47">
        <v>2.895311403181866</v>
      </c>
      <c r="C112" s="151">
        <f t="shared" si="19"/>
        <v>4.895069821263421</v>
      </c>
      <c r="D112" s="151">
        <f t="shared" si="21"/>
        <v>3.9906714562496686</v>
      </c>
      <c r="E112" s="151">
        <f t="shared" si="18"/>
        <v>4.511029073085996</v>
      </c>
      <c r="F112" s="152">
        <f t="shared" si="20"/>
        <v>4.343540160450692</v>
      </c>
      <c r="G112" s="152">
        <f t="shared" si="22"/>
        <v>4.920730243038415</v>
      </c>
      <c r="J112" s="24">
        <v>-11.507390318292021</v>
      </c>
    </row>
    <row r="113" spans="1:10" ht="12.75">
      <c r="A113" s="112">
        <v>37529</v>
      </c>
      <c r="B113" s="47">
        <v>2.8625901233869877</v>
      </c>
      <c r="C113" s="151">
        <f t="shared" si="19"/>
        <v>2.796823881600957</v>
      </c>
      <c r="D113" s="151">
        <f t="shared" si="21"/>
        <v>2.738315942770712</v>
      </c>
      <c r="E113" s="151">
        <f t="shared" si="18"/>
        <v>2.5774001807693927</v>
      </c>
      <c r="F113" s="152">
        <f t="shared" si="20"/>
        <v>2.814962089045021</v>
      </c>
      <c r="G113" s="152">
        <f t="shared" si="22"/>
        <v>2.7992424619479244</v>
      </c>
      <c r="J113" s="24">
        <v>-20.398036330536286</v>
      </c>
    </row>
    <row r="114" spans="1:10" ht="12.75">
      <c r="A114" s="112">
        <v>37621</v>
      </c>
      <c r="B114" s="47">
        <v>2.4082561296578264</v>
      </c>
      <c r="C114" s="151">
        <f t="shared" si="19"/>
        <v>1.49509382456113</v>
      </c>
      <c r="D114" s="151">
        <f t="shared" si="21"/>
        <v>1.5235071108316696</v>
      </c>
      <c r="E114" s="151">
        <f t="shared" si="18"/>
        <v>1.3777968355609385</v>
      </c>
      <c r="F114" s="152">
        <f t="shared" si="20"/>
        <v>1.746942293777781</v>
      </c>
      <c r="G114" s="152">
        <f t="shared" si="22"/>
        <v>1.528320582698228</v>
      </c>
      <c r="J114" s="24">
        <v>5.120789573017714</v>
      </c>
    </row>
    <row r="115" spans="1:10" ht="12.75">
      <c r="A115" s="112">
        <v>37711</v>
      </c>
      <c r="B115" s="47">
        <v>1.986467434563144</v>
      </c>
      <c r="C115" s="151">
        <f t="shared" si="19"/>
        <v>1.1387176681083115</v>
      </c>
      <c r="D115" s="151">
        <f t="shared" si="21"/>
        <v>2.312262877342618</v>
      </c>
      <c r="E115" s="151">
        <f t="shared" si="18"/>
        <v>1.0493800281581016</v>
      </c>
      <c r="F115" s="152">
        <f t="shared" si="20"/>
        <v>1.3725254805517024</v>
      </c>
      <c r="G115" s="152">
        <f t="shared" si="22"/>
        <v>1.1728665096492505</v>
      </c>
      <c r="J115" s="24">
        <v>-8.34385049611086</v>
      </c>
    </row>
    <row r="116" spans="1:10" ht="12.75">
      <c r="A116" s="112">
        <v>37802</v>
      </c>
      <c r="B116" s="47">
        <v>2.6674949783802804</v>
      </c>
      <c r="C116" s="151">
        <f t="shared" si="19"/>
        <v>4.036286859088902</v>
      </c>
      <c r="D116" s="151">
        <f t="shared" si="21"/>
        <v>3.8231373052174535</v>
      </c>
      <c r="E116" s="151">
        <f aca="true" t="shared" si="23" ref="E116:E126">((B116-$E$4*B115)/(1-$E$4))/$E$6</f>
        <v>3.719621585288347</v>
      </c>
      <c r="F116" s="152">
        <f t="shared" si="20"/>
        <v>3.6587765984171767</v>
      </c>
      <c r="G116" s="152">
        <f t="shared" si="22"/>
        <v>3.7929911586701714</v>
      </c>
      <c r="J116" s="24">
        <v>13.570161085889465</v>
      </c>
    </row>
    <row r="117" spans="1:10" ht="12.75">
      <c r="A117" s="112">
        <v>37894</v>
      </c>
      <c r="B117" s="47">
        <v>2.8149867562336617</v>
      </c>
      <c r="C117" s="151">
        <f aca="true" t="shared" si="24" ref="C117:C126">(B117-$C$4*B116)/(1-$C$4)</f>
        <v>3.11142931546618</v>
      </c>
      <c r="D117" s="151">
        <f t="shared" si="21"/>
        <v>2.5947954028395297</v>
      </c>
      <c r="E117" s="151">
        <f t="shared" si="23"/>
        <v>2.867323370945781</v>
      </c>
      <c r="F117" s="152">
        <f aca="true" t="shared" si="25" ref="F117:F126">IF($B117&gt;$H$4,(B117-$F$4*B116)/(1-$F$4),IF(B117&gt;$H$5,(B117-$F$5*B116)/(1-$F$5),IF(B117&gt;$H$6,(B117-$F$6*B116)/(1-$F$6),IF(B117&gt;$H$7,(B117-$F$7*B116)/(1-$F$7),IF(B117&gt;$H$8,(B117-$F$8*B116)/(1-$F$8),(B117-$F$9*B116)/(1-$F$9))))))</f>
        <v>3.02967100772978</v>
      </c>
      <c r="G117" s="152">
        <f t="shared" si="22"/>
        <v>3.0690845330675725</v>
      </c>
      <c r="J117" s="24">
        <v>2.8641579497377556</v>
      </c>
    </row>
    <row r="118" spans="1:10" ht="12.75">
      <c r="A118" s="112">
        <v>37986</v>
      </c>
      <c r="B118" s="47">
        <v>3.328214114930028</v>
      </c>
      <c r="C118" s="151">
        <f t="shared" si="24"/>
        <v>4.359745729060671</v>
      </c>
      <c r="D118" s="151">
        <f t="shared" si="21"/>
        <v>3.435859251776346</v>
      </c>
      <c r="E118" s="151">
        <f t="shared" si="23"/>
        <v>4.017703618776807</v>
      </c>
      <c r="F118" s="152">
        <f t="shared" si="25"/>
        <v>3.9374384269251976</v>
      </c>
      <c r="G118" s="152">
        <f t="shared" si="22"/>
        <v>4.462804778788325</v>
      </c>
      <c r="J118" s="24">
        <v>8.860197660426516</v>
      </c>
    </row>
    <row r="119" spans="1:10" ht="12.75">
      <c r="A119" s="112">
        <v>38077</v>
      </c>
      <c r="B119" s="47">
        <v>3.491735461194745</v>
      </c>
      <c r="C119" s="151">
        <f t="shared" si="24"/>
        <v>3.8203957233555763</v>
      </c>
      <c r="D119" s="151">
        <f t="shared" si="21"/>
        <v>3.998597952023255</v>
      </c>
      <c r="E119" s="151">
        <f t="shared" si="23"/>
        <v>3.5206681024015136</v>
      </c>
      <c r="F119" s="152">
        <f t="shared" si="25"/>
        <v>3.6858427666347566</v>
      </c>
      <c r="G119" s="152">
        <f t="shared" si="22"/>
        <v>3.8746990030128</v>
      </c>
      <c r="J119" s="24">
        <v>-0.4715998151655465</v>
      </c>
    </row>
    <row r="120" spans="1:10" ht="12.75">
      <c r="A120" s="112">
        <v>38168</v>
      </c>
      <c r="B120" s="47">
        <v>4.927111248090532</v>
      </c>
      <c r="C120" s="151">
        <f t="shared" si="24"/>
        <v>7.812061703774677</v>
      </c>
      <c r="D120" s="151">
        <f aca="true" t="shared" si="26" ref="D120:D126">(B120-($D$4*B119+$D$5*B118+$D$6*B117+$D$7*B116))/(1-$D$4-$D$5-$D$6-$D$7)</f>
        <v>6.721882231387629</v>
      </c>
      <c r="E120" s="151">
        <f t="shared" si="23"/>
        <v>7.199169522238541</v>
      </c>
      <c r="F120" s="152">
        <f t="shared" si="25"/>
        <v>7.509719261256387</v>
      </c>
      <c r="G120" s="152">
        <f t="shared" si="22"/>
        <v>10.190557469401908</v>
      </c>
      <c r="J120" s="24">
        <v>1.4428963527039818</v>
      </c>
    </row>
    <row r="121" spans="1:10" ht="12.75">
      <c r="A121" s="112">
        <v>38260</v>
      </c>
      <c r="B121" s="47">
        <v>4.331506608770064</v>
      </c>
      <c r="C121" s="151">
        <f t="shared" si="24"/>
        <v>3.1344055490320892</v>
      </c>
      <c r="D121" s="151">
        <f t="shared" si="26"/>
        <v>3.4124906347641857</v>
      </c>
      <c r="E121" s="151">
        <f t="shared" si="23"/>
        <v>2.8884970132819143</v>
      </c>
      <c r="F121" s="152">
        <f t="shared" si="25"/>
        <v>3.2598615885385223</v>
      </c>
      <c r="G121" s="152">
        <f t="shared" si="22"/>
        <v>1.8689898175003992</v>
      </c>
      <c r="J121" s="24">
        <v>1.9294018405596303</v>
      </c>
    </row>
    <row r="122" spans="1:10" ht="12.75">
      <c r="A122" s="112">
        <v>38352</v>
      </c>
      <c r="B122" s="47">
        <v>4.943216680048779</v>
      </c>
      <c r="C122" s="151">
        <f t="shared" si="24"/>
        <v>6.1726879202587375</v>
      </c>
      <c r="D122" s="151">
        <f t="shared" si="26"/>
        <v>5.607199573672686</v>
      </c>
      <c r="E122" s="151">
        <f t="shared" si="23"/>
        <v>5.6884121542901775</v>
      </c>
      <c r="F122" s="152">
        <f t="shared" si="25"/>
        <v>6.043839489936935</v>
      </c>
      <c r="G122" s="152">
        <f t="shared" si="22"/>
        <v>7.881146587794453</v>
      </c>
      <c r="J122" s="24">
        <v>6.1223681256520335</v>
      </c>
    </row>
    <row r="123" spans="1:10" ht="12.75">
      <c r="A123" s="112">
        <v>38442</v>
      </c>
      <c r="B123" s="47">
        <v>2.6702048444811055</v>
      </c>
      <c r="C123" s="151">
        <f t="shared" si="24"/>
        <v>-1.8983036887288876</v>
      </c>
      <c r="D123" s="151">
        <f t="shared" si="26"/>
        <v>0.7078825094214879</v>
      </c>
      <c r="E123" s="151">
        <f t="shared" si="23"/>
        <v>-1.7493730308411013</v>
      </c>
      <c r="F123" s="152">
        <f t="shared" si="25"/>
        <v>-0.6383175129194208</v>
      </c>
      <c r="G123" s="152">
        <f t="shared" si="22"/>
        <v>-3.285693652303859</v>
      </c>
      <c r="J123" s="24">
        <v>1.9487711293165955</v>
      </c>
    </row>
    <row r="124" spans="1:10" ht="12.75">
      <c r="A124" s="112">
        <v>38533</v>
      </c>
      <c r="B124" s="47">
        <v>4.491337131322948</v>
      </c>
      <c r="C124" s="151">
        <f t="shared" si="24"/>
        <v>8.151616529060153</v>
      </c>
      <c r="D124" s="151">
        <f t="shared" si="26"/>
        <v>6.992802527812376</v>
      </c>
      <c r="E124" s="151">
        <f t="shared" si="23"/>
        <v>7.512084709293845</v>
      </c>
      <c r="F124" s="152">
        <f t="shared" si="25"/>
        <v>7.768019711572069</v>
      </c>
      <c r="G124" s="152">
        <f t="shared" si="22"/>
        <v>8.25757408550193</v>
      </c>
      <c r="J124" s="24">
        <v>4.168073791669569</v>
      </c>
    </row>
    <row r="125" spans="1:10" ht="12.75">
      <c r="A125" s="112">
        <v>38625</v>
      </c>
      <c r="B125" s="47">
        <v>4.417140512716422</v>
      </c>
      <c r="C125" s="151">
        <f t="shared" si="24"/>
        <v>4.2680133150770905</v>
      </c>
      <c r="D125" s="151">
        <f t="shared" si="26"/>
        <v>4.910937111752213</v>
      </c>
      <c r="E125" s="151">
        <f t="shared" si="23"/>
        <v>3.933168034702648</v>
      </c>
      <c r="F125" s="152">
        <f t="shared" si="25"/>
        <v>4.283641826510051</v>
      </c>
      <c r="G125" s="152">
        <f t="shared" si="22"/>
        <v>4.236243673113287</v>
      </c>
      <c r="J125" s="24">
        <v>7.250299784779912</v>
      </c>
    </row>
    <row r="126" spans="1:10" ht="12.75">
      <c r="A126" s="112">
        <v>38717</v>
      </c>
      <c r="B126" s="47">
        <v>6.075512206102762</v>
      </c>
      <c r="C126" s="151">
        <f t="shared" si="24"/>
        <v>9.408660372740998</v>
      </c>
      <c r="D126" s="151">
        <f t="shared" si="26"/>
        <v>6.0503862773997605</v>
      </c>
      <c r="E126" s="151">
        <f t="shared" si="23"/>
        <v>8.670507680168749</v>
      </c>
      <c r="F126" s="152">
        <f t="shared" si="25"/>
        <v>10.863982862491865</v>
      </c>
      <c r="G126" s="152">
        <f t="shared" si="22"/>
        <v>10.591504741372898</v>
      </c>
      <c r="J126" s="24">
        <v>3.686734965164873</v>
      </c>
    </row>
    <row r="127" spans="1:7" ht="12.75">
      <c r="A127" s="112"/>
      <c r="B127" s="43"/>
      <c r="C127" s="43"/>
      <c r="D127" s="43"/>
      <c r="E127" s="43"/>
      <c r="F127" s="47"/>
      <c r="G127" s="47"/>
    </row>
    <row r="128" spans="1:7" ht="12.75">
      <c r="A128" s="112"/>
      <c r="B128" s="43"/>
      <c r="C128" s="43"/>
      <c r="D128" s="43"/>
      <c r="E128" s="43"/>
      <c r="F128" s="47"/>
      <c r="G128" s="47"/>
    </row>
    <row r="129" spans="1:7" ht="16.5" thickBot="1">
      <c r="A129" s="117" t="s">
        <v>105</v>
      </c>
      <c r="B129" s="89"/>
      <c r="C129" s="89"/>
      <c r="D129" s="89"/>
      <c r="E129" s="89"/>
      <c r="F129" s="89"/>
      <c r="G129" s="89"/>
    </row>
    <row r="130" spans="2:6" s="116" customFormat="1" ht="25.5">
      <c r="B130" s="116" t="s">
        <v>1</v>
      </c>
      <c r="C130" s="116" t="s">
        <v>3</v>
      </c>
      <c r="D130" s="116" t="str">
        <f>+D3</f>
        <v>Lags 1-n Method</v>
      </c>
      <c r="E130" s="116" t="s">
        <v>4</v>
      </c>
      <c r="F130" s="116" t="s">
        <v>5</v>
      </c>
    </row>
    <row r="131" spans="2:7" ht="12.75">
      <c r="B131" s="43"/>
      <c r="C131" s="43"/>
      <c r="D131" s="43"/>
      <c r="E131" s="43"/>
      <c r="F131" s="43"/>
      <c r="G131" s="38"/>
    </row>
    <row r="132" spans="1:7" ht="12.75">
      <c r="A132" s="112">
        <v>33603</v>
      </c>
      <c r="B132" s="43">
        <v>100</v>
      </c>
      <c r="C132" s="43">
        <v>100</v>
      </c>
      <c r="D132" s="43">
        <v>100</v>
      </c>
      <c r="E132" s="43">
        <v>100</v>
      </c>
      <c r="F132" s="43">
        <v>100</v>
      </c>
      <c r="G132" s="43">
        <v>100</v>
      </c>
    </row>
    <row r="133" spans="1:7" ht="12.75">
      <c r="A133" s="112">
        <v>33694</v>
      </c>
      <c r="B133" s="43">
        <f aca="true" t="shared" si="27" ref="B133:B164">+B132*(1+B71/100)</f>
        <v>100.29798428431702</v>
      </c>
      <c r="C133" s="43">
        <f aca="true" t="shared" si="28" ref="C133:C164">+C132*(1+C71/100)</f>
        <v>98.75154776776</v>
      </c>
      <c r="D133" s="43">
        <f aca="true" t="shared" si="29" ref="D133:D164">+D132*(1+D71/100)</f>
        <v>100.07010484555346</v>
      </c>
      <c r="E133" s="43">
        <f aca="true" t="shared" si="30" ref="E133:E164">+E132*(1+E71/100)</f>
        <v>98.84949458912105</v>
      </c>
      <c r="F133" s="43">
        <f aca="true" t="shared" si="31" ref="F133:F164">+F132*(1+F71/100)</f>
        <v>97.35469294677002</v>
      </c>
      <c r="G133" s="43">
        <f aca="true" t="shared" si="32" ref="G133:G164">+G132*(1+G71/100)</f>
        <v>92.61208015817414</v>
      </c>
    </row>
    <row r="134" spans="1:7" ht="12.75">
      <c r="A134" s="112">
        <v>33785</v>
      </c>
      <c r="B134" s="43">
        <f t="shared" si="27"/>
        <v>100.68523545554453</v>
      </c>
      <c r="C134" s="43">
        <f t="shared" si="28"/>
        <v>99.30772146506669</v>
      </c>
      <c r="D134" s="43">
        <f t="shared" si="29"/>
        <v>100.48881916346907</v>
      </c>
      <c r="E134" s="43">
        <f t="shared" si="30"/>
        <v>99.36254226372009</v>
      </c>
      <c r="F134" s="43">
        <f t="shared" si="31"/>
        <v>98.05874136111711</v>
      </c>
      <c r="G134" s="43">
        <f t="shared" si="32"/>
        <v>93.80580982789294</v>
      </c>
    </row>
    <row r="135" spans="1:7" ht="12.75">
      <c r="A135" s="112">
        <v>33877</v>
      </c>
      <c r="B135" s="43">
        <f t="shared" si="27"/>
        <v>99.86544465487438</v>
      </c>
      <c r="C135" s="43">
        <f t="shared" si="28"/>
        <v>96.10334976577654</v>
      </c>
      <c r="D135" s="43">
        <f t="shared" si="29"/>
        <v>99.11394455620936</v>
      </c>
      <c r="E135" s="43">
        <f t="shared" si="30"/>
        <v>96.40793813759826</v>
      </c>
      <c r="F135" s="43">
        <f t="shared" si="31"/>
        <v>92.75782844067052</v>
      </c>
      <c r="G135" s="43">
        <f t="shared" si="32"/>
        <v>79.45658663321495</v>
      </c>
    </row>
    <row r="136" spans="1:7" ht="12.75">
      <c r="A136" s="112">
        <v>33969</v>
      </c>
      <c r="B136" s="43">
        <f t="shared" si="27"/>
        <v>99.91684052114654</v>
      </c>
      <c r="C136" s="43">
        <f t="shared" si="28"/>
        <v>97.82492765936203</v>
      </c>
      <c r="D136" s="43">
        <f t="shared" si="29"/>
        <v>100.09114434819762</v>
      </c>
      <c r="E136" s="43">
        <f t="shared" si="30"/>
        <v>97.99947859054771</v>
      </c>
      <c r="F136" s="43">
        <f t="shared" si="31"/>
        <v>95.87727610843521</v>
      </c>
      <c r="G136" s="43">
        <f t="shared" si="32"/>
        <v>87.56430205161296</v>
      </c>
    </row>
    <row r="137" spans="1:7" ht="12.75">
      <c r="A137" s="112">
        <v>34059</v>
      </c>
      <c r="B137" s="43">
        <f t="shared" si="27"/>
        <v>100.74900328627052</v>
      </c>
      <c r="C137" s="43">
        <f t="shared" si="28"/>
        <v>100.17601817250289</v>
      </c>
      <c r="D137" s="43">
        <f t="shared" si="29"/>
        <v>102.13146453745044</v>
      </c>
      <c r="E137" s="43">
        <f t="shared" si="30"/>
        <v>100.16998120842489</v>
      </c>
      <c r="F137" s="43">
        <f t="shared" si="31"/>
        <v>98.36504216837743</v>
      </c>
      <c r="G137" s="43">
        <f t="shared" si="32"/>
        <v>95.6649395889458</v>
      </c>
    </row>
    <row r="138" spans="1:7" ht="12.75">
      <c r="A138" s="112">
        <v>34150</v>
      </c>
      <c r="B138" s="43">
        <f t="shared" si="27"/>
        <v>103.28654302244854</v>
      </c>
      <c r="C138" s="43">
        <f t="shared" si="28"/>
        <v>106.09340545501392</v>
      </c>
      <c r="D138" s="43">
        <f t="shared" si="29"/>
        <v>105.55148769992005</v>
      </c>
      <c r="E138" s="43">
        <f t="shared" si="30"/>
        <v>105.62279360883392</v>
      </c>
      <c r="F138" s="43">
        <f t="shared" si="31"/>
        <v>103.25624279073155</v>
      </c>
      <c r="G138" s="43">
        <f t="shared" si="32"/>
        <v>118.48072720644484</v>
      </c>
    </row>
    <row r="139" spans="1:7" ht="12.75">
      <c r="A139" s="112">
        <v>34242</v>
      </c>
      <c r="B139" s="43">
        <f t="shared" si="27"/>
        <v>107.31734357869938</v>
      </c>
      <c r="C139" s="43">
        <f t="shared" si="28"/>
        <v>113.18465187492058</v>
      </c>
      <c r="D139" s="43">
        <f t="shared" si="29"/>
        <v>111.45031821277324</v>
      </c>
      <c r="E139" s="43">
        <f t="shared" si="30"/>
        <v>112.12871142116072</v>
      </c>
      <c r="F139" s="43">
        <f t="shared" si="31"/>
        <v>108.98206500118938</v>
      </c>
      <c r="G139" s="43">
        <f t="shared" si="32"/>
        <v>137.3425964256543</v>
      </c>
    </row>
    <row r="140" spans="1:7" ht="12.75">
      <c r="A140" s="112">
        <v>34334</v>
      </c>
      <c r="B140" s="43">
        <f t="shared" si="27"/>
        <v>116.1937441389844</v>
      </c>
      <c r="C140" s="43">
        <f t="shared" si="28"/>
        <v>132.4844946512786</v>
      </c>
      <c r="D140" s="43">
        <f t="shared" si="29"/>
        <v>126.67163802856548</v>
      </c>
      <c r="E140" s="43">
        <f t="shared" si="30"/>
        <v>129.7484637011235</v>
      </c>
      <c r="F140" s="43">
        <f t="shared" si="31"/>
        <v>131.74338522282588</v>
      </c>
      <c r="G140" s="43">
        <f t="shared" si="32"/>
        <v>176.1490518219416</v>
      </c>
    </row>
    <row r="141" spans="1:7" ht="12.75">
      <c r="A141" s="112">
        <v>34424</v>
      </c>
      <c r="B141" s="43">
        <f t="shared" si="27"/>
        <v>125.29156260545213</v>
      </c>
      <c r="C141" s="43">
        <f t="shared" si="28"/>
        <v>141.68276295120003</v>
      </c>
      <c r="D141" s="43">
        <f t="shared" si="29"/>
        <v>135.10687518287057</v>
      </c>
      <c r="E141" s="43">
        <f t="shared" si="30"/>
        <v>138.05002882506773</v>
      </c>
      <c r="F141" s="43">
        <f t="shared" si="31"/>
        <v>140.37999810002754</v>
      </c>
      <c r="G141" s="43">
        <f t="shared" si="32"/>
        <v>185.15231803970002</v>
      </c>
    </row>
    <row r="142" spans="1:7" ht="12.75">
      <c r="A142" s="112">
        <v>34515</v>
      </c>
      <c r="B142" s="43">
        <f t="shared" si="27"/>
        <v>130.12814090000475</v>
      </c>
      <c r="C142" s="43">
        <f t="shared" si="28"/>
        <v>135.8479395736853</v>
      </c>
      <c r="D142" s="43">
        <f t="shared" si="29"/>
        <v>132.90933588735112</v>
      </c>
      <c r="E142" s="43">
        <f t="shared" si="30"/>
        <v>132.81084141445967</v>
      </c>
      <c r="F142" s="43">
        <f t="shared" si="31"/>
        <v>139.18416997283055</v>
      </c>
      <c r="G142" s="43">
        <f t="shared" si="32"/>
        <v>158.65237784966442</v>
      </c>
    </row>
    <row r="143" spans="1:7" ht="12.75">
      <c r="A143" s="112">
        <v>34607</v>
      </c>
      <c r="B143" s="43">
        <f t="shared" si="27"/>
        <v>132.52139895614206</v>
      </c>
      <c r="C143" s="43">
        <f t="shared" si="28"/>
        <v>132.82797810136464</v>
      </c>
      <c r="D143" s="43">
        <f t="shared" si="29"/>
        <v>137.9145272842917</v>
      </c>
      <c r="E143" s="43">
        <f t="shared" si="30"/>
        <v>130.09002894016055</v>
      </c>
      <c r="F143" s="43">
        <f t="shared" si="31"/>
        <v>137.64938869988413</v>
      </c>
      <c r="G143" s="43">
        <f t="shared" si="32"/>
        <v>148.55398301731455</v>
      </c>
    </row>
    <row r="144" spans="1:7" ht="12.75">
      <c r="A144" s="112">
        <v>34699</v>
      </c>
      <c r="B144" s="43">
        <f t="shared" si="27"/>
        <v>133.9211075105336</v>
      </c>
      <c r="C144" s="43">
        <f t="shared" si="28"/>
        <v>132.14070622130555</v>
      </c>
      <c r="D144" s="43">
        <f t="shared" si="29"/>
        <v>140.11316259715758</v>
      </c>
      <c r="E144" s="43">
        <f t="shared" si="30"/>
        <v>129.46973182883497</v>
      </c>
      <c r="F144" s="43">
        <f t="shared" si="31"/>
        <v>136.67322116834941</v>
      </c>
      <c r="G144" s="43">
        <f t="shared" si="32"/>
        <v>144.77831524340314</v>
      </c>
    </row>
    <row r="145" spans="1:7" ht="12.75">
      <c r="A145" s="112">
        <v>34789</v>
      </c>
      <c r="B145" s="43">
        <f t="shared" si="27"/>
        <v>135.13894380030635</v>
      </c>
      <c r="C145" s="43">
        <f t="shared" si="28"/>
        <v>132.95234913301513</v>
      </c>
      <c r="D145" s="43">
        <f t="shared" si="29"/>
        <v>138.2789610365339</v>
      </c>
      <c r="E145" s="43">
        <f t="shared" si="30"/>
        <v>130.20257890653667</v>
      </c>
      <c r="F145" s="43">
        <f t="shared" si="31"/>
        <v>137.46355004827132</v>
      </c>
      <c r="G145" s="43">
        <f t="shared" si="32"/>
        <v>145.0831431469462</v>
      </c>
    </row>
    <row r="146" spans="1:7" ht="12.75">
      <c r="A146" s="112">
        <v>34880</v>
      </c>
      <c r="B146" s="43">
        <f t="shared" si="27"/>
        <v>135.72179877272885</v>
      </c>
      <c r="C146" s="43">
        <f t="shared" si="28"/>
        <v>132.24828080967305</v>
      </c>
      <c r="D146" s="43">
        <f t="shared" si="29"/>
        <v>136.3566686829515</v>
      </c>
      <c r="E146" s="43">
        <f t="shared" si="30"/>
        <v>129.56716734628307</v>
      </c>
      <c r="F146" s="43">
        <f t="shared" si="31"/>
        <v>135.54251335902984</v>
      </c>
      <c r="G146" s="43">
        <f t="shared" si="32"/>
        <v>142.18037153853484</v>
      </c>
    </row>
    <row r="147" spans="1:7" ht="12.75">
      <c r="A147" s="112">
        <v>34972</v>
      </c>
      <c r="B147" s="43">
        <f t="shared" si="27"/>
        <v>136.99134487083043</v>
      </c>
      <c r="C147" s="43">
        <f t="shared" si="28"/>
        <v>134.82526458886795</v>
      </c>
      <c r="D147" s="43">
        <f t="shared" si="29"/>
        <v>138.02925774644484</v>
      </c>
      <c r="E147" s="43">
        <f t="shared" si="30"/>
        <v>131.8938296274089</v>
      </c>
      <c r="F147" s="43">
        <f t="shared" si="31"/>
        <v>138.35103266052738</v>
      </c>
      <c r="G147" s="43">
        <f t="shared" si="32"/>
        <v>146.80873594483103</v>
      </c>
    </row>
    <row r="148" spans="1:7" ht="12.75">
      <c r="A148" s="112">
        <v>35064</v>
      </c>
      <c r="B148" s="43">
        <f t="shared" si="27"/>
        <v>138.20649261554564</v>
      </c>
      <c r="C148" s="43">
        <f t="shared" si="28"/>
        <v>135.8901017923842</v>
      </c>
      <c r="D148" s="43">
        <f t="shared" si="29"/>
        <v>139.00506006295856</v>
      </c>
      <c r="E148" s="43">
        <f t="shared" si="30"/>
        <v>132.8537896532387</v>
      </c>
      <c r="F148" s="43">
        <f t="shared" si="31"/>
        <v>139.42732348134138</v>
      </c>
      <c r="G148" s="43">
        <f t="shared" si="32"/>
        <v>147.81788337051978</v>
      </c>
    </row>
    <row r="149" spans="1:7" ht="12.75">
      <c r="A149" s="112">
        <v>35155</v>
      </c>
      <c r="B149" s="43">
        <f t="shared" si="27"/>
        <v>140.6428514211543</v>
      </c>
      <c r="C149" s="43">
        <f t="shared" si="28"/>
        <v>140.67768959687214</v>
      </c>
      <c r="D149" s="43">
        <f t="shared" si="29"/>
        <v>142.37949674122729</v>
      </c>
      <c r="E149" s="43">
        <f t="shared" si="30"/>
        <v>137.16718842703705</v>
      </c>
      <c r="F149" s="43">
        <f t="shared" si="31"/>
        <v>144.63860461215333</v>
      </c>
      <c r="G149" s="43">
        <f t="shared" si="32"/>
        <v>155.116725298563</v>
      </c>
    </row>
    <row r="150" spans="1:7" ht="12.75">
      <c r="A150" s="112">
        <v>35246</v>
      </c>
      <c r="B150" s="43">
        <f t="shared" si="27"/>
        <v>143.61084777728868</v>
      </c>
      <c r="C150" s="43">
        <f t="shared" si="28"/>
        <v>144.62887550578668</v>
      </c>
      <c r="D150" s="43">
        <f t="shared" si="29"/>
        <v>146.19260915214355</v>
      </c>
      <c r="E150" s="43">
        <f t="shared" si="30"/>
        <v>140.71752240920165</v>
      </c>
      <c r="F150" s="43">
        <f t="shared" si="31"/>
        <v>148.42245174065735</v>
      </c>
      <c r="G150" s="43">
        <f t="shared" si="32"/>
        <v>160.27368986027227</v>
      </c>
    </row>
    <row r="151" spans="1:7" ht="12.75">
      <c r="A151" s="112">
        <v>35338</v>
      </c>
      <c r="B151" s="43">
        <f t="shared" si="27"/>
        <v>146.62267649923965</v>
      </c>
      <c r="C151" s="43">
        <f t="shared" si="28"/>
        <v>147.62399764151277</v>
      </c>
      <c r="D151" s="43">
        <f t="shared" si="29"/>
        <v>148.61452856310018</v>
      </c>
      <c r="E151" s="43">
        <f t="shared" si="30"/>
        <v>143.40301799309748</v>
      </c>
      <c r="F151" s="43">
        <f t="shared" si="31"/>
        <v>151.50690642637989</v>
      </c>
      <c r="G151" s="43">
        <f t="shared" si="32"/>
        <v>163.56486301415887</v>
      </c>
    </row>
    <row r="152" spans="1:7" ht="12.75">
      <c r="A152" s="112">
        <v>35430</v>
      </c>
      <c r="B152" s="43">
        <f t="shared" si="27"/>
        <v>151.1298567307977</v>
      </c>
      <c r="C152" s="43">
        <f t="shared" si="28"/>
        <v>155.060158011988</v>
      </c>
      <c r="D152" s="43">
        <f t="shared" si="29"/>
        <v>155.90306471470655</v>
      </c>
      <c r="E152" s="43">
        <f t="shared" si="30"/>
        <v>150.05983796869364</v>
      </c>
      <c r="F152" s="43">
        <f t="shared" si="31"/>
        <v>157.92093122751868</v>
      </c>
      <c r="G152" s="43">
        <f t="shared" si="32"/>
        <v>173.83706801091049</v>
      </c>
    </row>
    <row r="153" spans="1:7" ht="12.75">
      <c r="A153" s="112">
        <v>35520</v>
      </c>
      <c r="B153" s="43">
        <f t="shared" si="27"/>
        <v>155.64821853347246</v>
      </c>
      <c r="C153" s="43">
        <f t="shared" si="28"/>
        <v>159.43336916200352</v>
      </c>
      <c r="D153" s="43">
        <f t="shared" si="29"/>
        <v>160.31140691642926</v>
      </c>
      <c r="E153" s="43">
        <f t="shared" si="30"/>
        <v>153.95998907025447</v>
      </c>
      <c r="F153" s="43">
        <f t="shared" si="31"/>
        <v>162.44860211345858</v>
      </c>
      <c r="G153" s="43">
        <f t="shared" si="32"/>
        <v>178.55219464160098</v>
      </c>
    </row>
    <row r="154" spans="1:7" ht="12.75">
      <c r="A154" s="112">
        <v>35611</v>
      </c>
      <c r="B154" s="43">
        <f t="shared" si="27"/>
        <v>161.0953082472586</v>
      </c>
      <c r="C154" s="43">
        <f t="shared" si="28"/>
        <v>166.64684980184268</v>
      </c>
      <c r="D154" s="43">
        <f t="shared" si="29"/>
        <v>166.53541326899773</v>
      </c>
      <c r="E154" s="43">
        <f t="shared" si="30"/>
        <v>160.37932722268968</v>
      </c>
      <c r="F154" s="43">
        <f t="shared" si="31"/>
        <v>169.11692834235964</v>
      </c>
      <c r="G154" s="43">
        <f t="shared" si="32"/>
        <v>187.68932559185365</v>
      </c>
    </row>
    <row r="155" spans="1:7" ht="12.75">
      <c r="A155" s="112">
        <v>35703</v>
      </c>
      <c r="B155" s="43">
        <f t="shared" si="27"/>
        <v>166.7237171251889</v>
      </c>
      <c r="C155" s="43">
        <f t="shared" si="28"/>
        <v>172.44986765700068</v>
      </c>
      <c r="D155" s="43">
        <f t="shared" si="29"/>
        <v>173.31007924624367</v>
      </c>
      <c r="E155" s="43">
        <f t="shared" si="30"/>
        <v>165.52594506214277</v>
      </c>
      <c r="F155" s="43">
        <f t="shared" si="31"/>
        <v>175.0140003589351</v>
      </c>
      <c r="G155" s="43">
        <f t="shared" si="32"/>
        <v>194.2133530729654</v>
      </c>
    </row>
    <row r="156" spans="1:7" ht="12.75">
      <c r="A156" s="112">
        <v>35795</v>
      </c>
      <c r="B156" s="43">
        <f t="shared" si="27"/>
        <v>174.44749384587226</v>
      </c>
      <c r="C156" s="43">
        <f t="shared" si="28"/>
        <v>184.38621042108497</v>
      </c>
      <c r="D156" s="43">
        <f t="shared" si="29"/>
        <v>183.56894456860616</v>
      </c>
      <c r="E156" s="43">
        <f t="shared" si="30"/>
        <v>176.08417771514345</v>
      </c>
      <c r="F156" s="43">
        <f t="shared" si="31"/>
        <v>186.7079963501078</v>
      </c>
      <c r="G156" s="43">
        <f t="shared" si="32"/>
        <v>209.3067612051307</v>
      </c>
    </row>
    <row r="157" spans="1:7" ht="12.75">
      <c r="A157" s="112">
        <v>35885</v>
      </c>
      <c r="B157" s="43">
        <f t="shared" si="27"/>
        <v>180.16134938553523</v>
      </c>
      <c r="C157" s="43">
        <f t="shared" si="28"/>
        <v>185.39557216694445</v>
      </c>
      <c r="D157" s="43">
        <f t="shared" si="29"/>
        <v>186.3092734312224</v>
      </c>
      <c r="E157" s="43">
        <f t="shared" si="30"/>
        <v>176.97246914381503</v>
      </c>
      <c r="F157" s="43">
        <f t="shared" si="31"/>
        <v>189.8152828234743</v>
      </c>
      <c r="G157" s="43">
        <f t="shared" si="32"/>
        <v>209.1949313760445</v>
      </c>
    </row>
    <row r="158" spans="1:7" ht="12.75">
      <c r="A158" s="112">
        <v>35976</v>
      </c>
      <c r="B158" s="43">
        <f t="shared" si="27"/>
        <v>187.03237960805308</v>
      </c>
      <c r="C158" s="43">
        <f t="shared" si="28"/>
        <v>194.47251065556162</v>
      </c>
      <c r="D158" s="43">
        <f t="shared" si="29"/>
        <v>194.86442218912165</v>
      </c>
      <c r="E158" s="43">
        <f t="shared" si="30"/>
        <v>184.95724042125252</v>
      </c>
      <c r="F158" s="43">
        <f t="shared" si="31"/>
        <v>198.26765929128055</v>
      </c>
      <c r="G158" s="43">
        <f t="shared" si="32"/>
        <v>220.03519876444025</v>
      </c>
    </row>
    <row r="159" spans="1:7" ht="12.75">
      <c r="A159" s="112">
        <v>36068</v>
      </c>
      <c r="B159" s="43">
        <f t="shared" si="27"/>
        <v>192.339192217441</v>
      </c>
      <c r="C159" s="43">
        <f t="shared" si="28"/>
        <v>196.1738133837481</v>
      </c>
      <c r="D159" s="43">
        <f t="shared" si="29"/>
        <v>200.0075065226658</v>
      </c>
      <c r="E159" s="43">
        <f t="shared" si="30"/>
        <v>186.44835648819287</v>
      </c>
      <c r="F159" s="43">
        <f t="shared" si="31"/>
        <v>201.07532014661186</v>
      </c>
      <c r="G159" s="43">
        <f t="shared" si="32"/>
        <v>220.68267220772253</v>
      </c>
    </row>
    <row r="160" spans="1:7" ht="12.75">
      <c r="A160" s="112">
        <v>36160</v>
      </c>
      <c r="B160" s="43">
        <f t="shared" si="27"/>
        <v>195.64436647446198</v>
      </c>
      <c r="C160" s="43">
        <f t="shared" si="28"/>
        <v>195.13292625193967</v>
      </c>
      <c r="D160" s="43">
        <f t="shared" si="29"/>
        <v>198.76616386866553</v>
      </c>
      <c r="E160" s="43">
        <f t="shared" si="30"/>
        <v>185.53668599256022</v>
      </c>
      <c r="F160" s="43">
        <f t="shared" si="31"/>
        <v>199.45737412085603</v>
      </c>
      <c r="G160" s="43">
        <f t="shared" si="32"/>
        <v>212.83174536531365</v>
      </c>
    </row>
    <row r="161" spans="1:7" ht="12.75">
      <c r="A161" s="112">
        <v>36250</v>
      </c>
      <c r="B161" s="43">
        <f t="shared" si="27"/>
        <v>199.73638833069947</v>
      </c>
      <c r="C161" s="43">
        <f t="shared" si="28"/>
        <v>200.6777393486269</v>
      </c>
      <c r="D161" s="43">
        <f t="shared" si="29"/>
        <v>206.011132543782</v>
      </c>
      <c r="E161" s="43">
        <f t="shared" si="30"/>
        <v>190.39519357276262</v>
      </c>
      <c r="F161" s="43">
        <f t="shared" si="31"/>
        <v>204.71249649145014</v>
      </c>
      <c r="G161" s="43">
        <f t="shared" si="32"/>
        <v>219.2489873832346</v>
      </c>
    </row>
    <row r="162" spans="1:7" ht="12.75">
      <c r="A162" s="112">
        <v>36341</v>
      </c>
      <c r="B162" s="43">
        <f t="shared" si="27"/>
        <v>207.12312226281517</v>
      </c>
      <c r="C162" s="43">
        <f t="shared" si="28"/>
        <v>214.579680175383</v>
      </c>
      <c r="D162" s="43">
        <f t="shared" si="29"/>
        <v>217.02465342427672</v>
      </c>
      <c r="E162" s="43">
        <f t="shared" si="30"/>
        <v>202.55002532090577</v>
      </c>
      <c r="F162" s="43">
        <f t="shared" si="31"/>
        <v>216.18754123063383</v>
      </c>
      <c r="G162" s="43">
        <f t="shared" si="32"/>
        <v>235.89679016431725</v>
      </c>
    </row>
    <row r="163" spans="1:7" ht="12.75">
      <c r="A163" s="112">
        <v>36433</v>
      </c>
      <c r="B163" s="43">
        <f t="shared" si="27"/>
        <v>214.73665109252903</v>
      </c>
      <c r="C163" s="43">
        <f t="shared" si="28"/>
        <v>222.37071685018878</v>
      </c>
      <c r="D163" s="43">
        <f t="shared" si="29"/>
        <v>221.79408070034611</v>
      </c>
      <c r="E163" s="43">
        <f t="shared" si="30"/>
        <v>209.32730943291315</v>
      </c>
      <c r="F163" s="43">
        <f t="shared" si="31"/>
        <v>224.0767942392191</v>
      </c>
      <c r="G163" s="43">
        <f t="shared" si="32"/>
        <v>244.3684196367404</v>
      </c>
    </row>
    <row r="164" spans="1:7" ht="12.75">
      <c r="A164" s="112">
        <v>36525</v>
      </c>
      <c r="B164" s="43">
        <f t="shared" si="27"/>
        <v>223.29423703981075</v>
      </c>
      <c r="C164" s="43">
        <f t="shared" si="28"/>
        <v>232.61495223943857</v>
      </c>
      <c r="D164" s="43">
        <f t="shared" si="29"/>
        <v>231.03507101215428</v>
      </c>
      <c r="E164" s="43">
        <f t="shared" si="30"/>
        <v>218.21409251419794</v>
      </c>
      <c r="F164" s="43">
        <f t="shared" si="31"/>
        <v>233.82932300996862</v>
      </c>
      <c r="G164" s="43">
        <f t="shared" si="32"/>
        <v>257.3136569567208</v>
      </c>
    </row>
    <row r="165" spans="1:7" ht="12.75">
      <c r="A165" s="112">
        <v>36616</v>
      </c>
      <c r="B165" s="43">
        <f aca="true" t="shared" si="33" ref="B165:B188">+B164*(1+B103/100)</f>
        <v>230.26474648364007</v>
      </c>
      <c r="C165" s="43">
        <f aca="true" t="shared" si="34" ref="C165:C188">+C164*(1+C103/100)</f>
        <v>235.83936980077172</v>
      </c>
      <c r="D165" s="43">
        <f aca="true" t="shared" si="35" ref="D165:D188">+D164*(1+D103/100)</f>
        <v>238.11865229589733</v>
      </c>
      <c r="E165" s="43">
        <f aca="true" t="shared" si="36" ref="E165:E188">+E164*(1+E103/100)</f>
        <v>221.00158162965144</v>
      </c>
      <c r="F165" s="43">
        <f aca="true" t="shared" si="37" ref="F165:F188">+F164*(1+F103/100)</f>
        <v>238.73196502397636</v>
      </c>
      <c r="G165" s="43">
        <f aca="true" t="shared" si="38" ref="G165:G188">+G164*(1+G103/100)</f>
        <v>257.3275606237305</v>
      </c>
    </row>
    <row r="166" spans="1:7" ht="12.75">
      <c r="A166" s="112">
        <v>36707</v>
      </c>
      <c r="B166" s="43">
        <f t="shared" si="33"/>
        <v>236.2467932047674</v>
      </c>
      <c r="C166" s="43">
        <f t="shared" si="34"/>
        <v>239.48350580463307</v>
      </c>
      <c r="D166" s="43">
        <f t="shared" si="35"/>
        <v>243.03203808570848</v>
      </c>
      <c r="E166" s="43">
        <f t="shared" si="36"/>
        <v>224.14853558404243</v>
      </c>
      <c r="F166" s="43">
        <f t="shared" si="37"/>
        <v>243.113928459151</v>
      </c>
      <c r="G166" s="43">
        <f t="shared" si="38"/>
        <v>260.05211942523863</v>
      </c>
    </row>
    <row r="167" spans="1:7" ht="12.75">
      <c r="A167" s="112">
        <v>36799</v>
      </c>
      <c r="B167" s="43">
        <f t="shared" si="33"/>
        <v>241.76588798113534</v>
      </c>
      <c r="C167" s="43">
        <f t="shared" si="34"/>
        <v>243.81835181961006</v>
      </c>
      <c r="D167" s="43">
        <f t="shared" si="35"/>
        <v>249.487305134475</v>
      </c>
      <c r="E167" s="43">
        <f t="shared" si="36"/>
        <v>227.8874946352001</v>
      </c>
      <c r="F167" s="43">
        <f t="shared" si="37"/>
        <v>247.86722347153702</v>
      </c>
      <c r="G167" s="43">
        <f t="shared" si="38"/>
        <v>264.67062404581407</v>
      </c>
    </row>
    <row r="168" spans="1:7" ht="12.75">
      <c r="A168" s="112">
        <v>36891</v>
      </c>
      <c r="B168" s="43">
        <f t="shared" si="33"/>
        <v>246.76176770548273</v>
      </c>
      <c r="C168" s="43">
        <f t="shared" si="34"/>
        <v>247.53476571476523</v>
      </c>
      <c r="D168" s="43">
        <f t="shared" si="35"/>
        <v>252.79186835797861</v>
      </c>
      <c r="E168" s="43">
        <f t="shared" si="36"/>
        <v>231.08856273280665</v>
      </c>
      <c r="F168" s="43">
        <f t="shared" si="37"/>
        <v>252.0159781667317</v>
      </c>
      <c r="G168" s="43">
        <f t="shared" si="38"/>
        <v>269.0497596002319</v>
      </c>
    </row>
    <row r="169" spans="1:7" ht="12.75">
      <c r="A169" s="112">
        <v>36981</v>
      </c>
      <c r="B169" s="43">
        <f t="shared" si="33"/>
        <v>251.17843440502978</v>
      </c>
      <c r="C169" s="43">
        <f t="shared" si="34"/>
        <v>250.58932331112726</v>
      </c>
      <c r="D169" s="43">
        <f t="shared" si="35"/>
        <v>255.8448425955245</v>
      </c>
      <c r="E169" s="43">
        <f t="shared" si="36"/>
        <v>233.71645345765182</v>
      </c>
      <c r="F169" s="43">
        <f t="shared" si="37"/>
        <v>254.95513242990802</v>
      </c>
      <c r="G169" s="43">
        <f t="shared" si="38"/>
        <v>272.8767927071169</v>
      </c>
    </row>
    <row r="170" spans="1:7" ht="12.75">
      <c r="A170" s="112">
        <v>37072</v>
      </c>
      <c r="B170" s="43">
        <f t="shared" si="33"/>
        <v>255.4097887259813</v>
      </c>
      <c r="C170" s="43">
        <f t="shared" si="34"/>
        <v>254.28065633324644</v>
      </c>
      <c r="D170" s="43">
        <f t="shared" si="35"/>
        <v>259.74980794299216</v>
      </c>
      <c r="E170" s="43">
        <f t="shared" si="36"/>
        <v>236.88913649930748</v>
      </c>
      <c r="F170" s="43">
        <f t="shared" si="37"/>
        <v>258.6450560793824</v>
      </c>
      <c r="G170" s="43">
        <f t="shared" si="38"/>
        <v>277.06271330097667</v>
      </c>
    </row>
    <row r="171" spans="1:7" ht="12.75">
      <c r="A171" s="112">
        <v>37164</v>
      </c>
      <c r="B171" s="43">
        <f t="shared" si="33"/>
        <v>259.33806816264365</v>
      </c>
      <c r="C171" s="43">
        <f t="shared" si="34"/>
        <v>257.44247989295104</v>
      </c>
      <c r="D171" s="43">
        <f t="shared" si="35"/>
        <v>263.040831275937</v>
      </c>
      <c r="E171" s="43">
        <f t="shared" si="36"/>
        <v>239.6036136333001</v>
      </c>
      <c r="F171" s="43">
        <f t="shared" si="37"/>
        <v>261.7683012241542</v>
      </c>
      <c r="G171" s="43">
        <f t="shared" si="38"/>
        <v>280.66525374275517</v>
      </c>
    </row>
    <row r="172" spans="1:7" ht="12.75">
      <c r="A172" s="112">
        <v>37256</v>
      </c>
      <c r="B172" s="43">
        <f t="shared" si="33"/>
        <v>264.18879753887893</v>
      </c>
      <c r="C172" s="43">
        <f t="shared" si="34"/>
        <v>263.9776805336978</v>
      </c>
      <c r="D172" s="43">
        <f t="shared" si="35"/>
        <v>268.79497327208486</v>
      </c>
      <c r="E172" s="43">
        <f t="shared" si="36"/>
        <v>245.20878396178196</v>
      </c>
      <c r="F172" s="43">
        <f t="shared" si="37"/>
        <v>267.9309900186577</v>
      </c>
      <c r="G172" s="43">
        <f t="shared" si="38"/>
        <v>287.8486880096918</v>
      </c>
    </row>
    <row r="173" spans="1:7" ht="12.75">
      <c r="A173" s="112">
        <v>37346</v>
      </c>
      <c r="B173" s="43">
        <f t="shared" si="33"/>
        <v>269.2093180896428</v>
      </c>
      <c r="C173" s="43">
        <f t="shared" si="34"/>
        <v>269.1529678595149</v>
      </c>
      <c r="D173" s="43">
        <f t="shared" si="35"/>
        <v>273.64367020368024</v>
      </c>
      <c r="E173" s="43">
        <f t="shared" si="36"/>
        <v>249.63895013444886</v>
      </c>
      <c r="F173" s="43">
        <f t="shared" si="37"/>
        <v>273.13933535842534</v>
      </c>
      <c r="G173" s="43">
        <f t="shared" si="38"/>
        <v>293.51207032101877</v>
      </c>
    </row>
    <row r="174" spans="1:7" ht="12.75">
      <c r="A174" s="112">
        <v>37437</v>
      </c>
      <c r="B174" s="43">
        <f t="shared" si="33"/>
        <v>277.0037661747204</v>
      </c>
      <c r="C174" s="43">
        <f t="shared" si="34"/>
        <v>282.3281935622408</v>
      </c>
      <c r="D174" s="43">
        <f t="shared" si="35"/>
        <v>284.5638900423325</v>
      </c>
      <c r="E174" s="43">
        <f t="shared" si="36"/>
        <v>260.9002357527605</v>
      </c>
      <c r="F174" s="43">
        <f t="shared" si="37"/>
        <v>285.0032520837066</v>
      </c>
      <c r="G174" s="43">
        <f t="shared" si="38"/>
        <v>307.95500753227327</v>
      </c>
    </row>
    <row r="175" spans="1:7" ht="12.75">
      <c r="A175" s="112">
        <v>37529</v>
      </c>
      <c r="B175" s="43">
        <f t="shared" si="33"/>
        <v>284.9332486266479</v>
      </c>
      <c r="C175" s="43">
        <f t="shared" si="34"/>
        <v>290.2244159042822</v>
      </c>
      <c r="D175" s="43">
        <f t="shared" si="35"/>
        <v>292.3561484107302</v>
      </c>
      <c r="E175" s="43">
        <f t="shared" si="36"/>
        <v>267.62467890067995</v>
      </c>
      <c r="F175" s="43">
        <f t="shared" si="37"/>
        <v>293.02598558240834</v>
      </c>
      <c r="G175" s="43">
        <f t="shared" si="38"/>
        <v>316.57541486681157</v>
      </c>
    </row>
    <row r="176" spans="1:7" ht="12.75">
      <c r="A176" s="112">
        <v>37621</v>
      </c>
      <c r="B176" s="43">
        <f t="shared" si="33"/>
        <v>291.79517105213233</v>
      </c>
      <c r="C176" s="43">
        <f t="shared" si="34"/>
        <v>294.56354322383567</v>
      </c>
      <c r="D176" s="43">
        <f t="shared" si="35"/>
        <v>296.8102151207213</v>
      </c>
      <c r="E176" s="43">
        <f t="shared" si="36"/>
        <v>271.31200325775364</v>
      </c>
      <c r="F176" s="43">
        <f t="shared" si="37"/>
        <v>298.14498045630666</v>
      </c>
      <c r="G176" s="43">
        <f t="shared" si="38"/>
        <v>321.41370209198334</v>
      </c>
    </row>
    <row r="177" spans="1:7" ht="12.75">
      <c r="A177" s="112">
        <v>37711</v>
      </c>
      <c r="B177" s="43">
        <f t="shared" si="33"/>
        <v>297.59158710071074</v>
      </c>
      <c r="C177" s="43">
        <f t="shared" si="34"/>
        <v>297.91779033433136</v>
      </c>
      <c r="D177" s="43">
        <f t="shared" si="35"/>
        <v>303.6732475411185</v>
      </c>
      <c r="E177" s="43">
        <f t="shared" si="36"/>
        <v>274.15909723393617</v>
      </c>
      <c r="F177" s="43">
        <f t="shared" si="37"/>
        <v>302.2370962820554</v>
      </c>
      <c r="G177" s="43">
        <f t="shared" si="38"/>
        <v>325.18345576124403</v>
      </c>
    </row>
    <row r="178" spans="1:7" ht="12.75">
      <c r="A178" s="112">
        <v>37802</v>
      </c>
      <c r="B178" s="43">
        <f t="shared" si="33"/>
        <v>305.52982774270436</v>
      </c>
      <c r="C178" s="43">
        <f t="shared" si="34"/>
        <v>309.942606956484</v>
      </c>
      <c r="D178" s="43">
        <f t="shared" si="35"/>
        <v>315.2830927538283</v>
      </c>
      <c r="E178" s="43">
        <f t="shared" si="36"/>
        <v>284.35677819268136</v>
      </c>
      <c r="F178" s="43">
        <f t="shared" si="37"/>
        <v>313.29527643255886</v>
      </c>
      <c r="G178" s="43">
        <f t="shared" si="38"/>
        <v>337.5176354877262</v>
      </c>
    </row>
    <row r="179" spans="1:7" ht="12.75">
      <c r="A179" s="112">
        <v>37894</v>
      </c>
      <c r="B179" s="43">
        <f t="shared" si="33"/>
        <v>314.130451930005</v>
      </c>
      <c r="C179" s="43">
        <f t="shared" si="34"/>
        <v>319.5862520904481</v>
      </c>
      <c r="D179" s="43">
        <f t="shared" si="35"/>
        <v>323.464043950535</v>
      </c>
      <c r="E179" s="43">
        <f t="shared" si="36"/>
        <v>292.51020655066856</v>
      </c>
      <c r="F179" s="43">
        <f t="shared" si="37"/>
        <v>322.787092591223</v>
      </c>
      <c r="G179" s="43">
        <f t="shared" si="38"/>
        <v>347.8763370348554</v>
      </c>
    </row>
    <row r="180" spans="1:7" ht="12.75">
      <c r="A180" s="112">
        <v>37986</v>
      </c>
      <c r="B180" s="43">
        <f t="shared" si="33"/>
        <v>324.5853859704329</v>
      </c>
      <c r="C180" s="43">
        <f t="shared" si="34"/>
        <v>333.5194000666265</v>
      </c>
      <c r="D180" s="43">
        <f t="shared" si="35"/>
        <v>334.5778132307793</v>
      </c>
      <c r="E180" s="43">
        <f t="shared" si="36"/>
        <v>304.2623997045463</v>
      </c>
      <c r="F180" s="43">
        <f t="shared" si="37"/>
        <v>335.4966356120644</v>
      </c>
      <c r="G180" s="43">
        <f t="shared" si="38"/>
        <v>363.40137882832073</v>
      </c>
    </row>
    <row r="181" spans="1:7" ht="12.75">
      <c r="A181" s="112">
        <v>38077</v>
      </c>
      <c r="B181" s="43">
        <f t="shared" si="33"/>
        <v>335.9190489942184</v>
      </c>
      <c r="C181" s="43">
        <f t="shared" si="34"/>
        <v>346.26116096333305</v>
      </c>
      <c r="D181" s="43">
        <f t="shared" si="35"/>
        <v>347.9562348185495</v>
      </c>
      <c r="E181" s="43">
        <f t="shared" si="36"/>
        <v>314.97446895854563</v>
      </c>
      <c r="F181" s="43">
        <f t="shared" si="37"/>
        <v>347.8625140880746</v>
      </c>
      <c r="G181" s="43">
        <f t="shared" si="38"/>
        <v>377.4820884307165</v>
      </c>
    </row>
    <row r="182" spans="1:7" ht="12.75">
      <c r="A182" s="112">
        <v>38168</v>
      </c>
      <c r="B182" s="43">
        <f t="shared" si="33"/>
        <v>352.47015424169126</v>
      </c>
      <c r="C182" s="43">
        <f t="shared" si="34"/>
        <v>373.3112965139952</v>
      </c>
      <c r="D182" s="43">
        <f t="shared" si="35"/>
        <v>371.345443139823</v>
      </c>
      <c r="E182" s="43">
        <f t="shared" si="36"/>
        <v>337.65001493064193</v>
      </c>
      <c r="F182" s="43">
        <f t="shared" si="37"/>
        <v>373.98601231123746</v>
      </c>
      <c r="G182" s="43">
        <f t="shared" si="38"/>
        <v>415.9496175889472</v>
      </c>
    </row>
    <row r="183" spans="1:7" ht="12.75">
      <c r="A183" s="112">
        <v>38260</v>
      </c>
      <c r="B183" s="43">
        <f t="shared" si="33"/>
        <v>367.73742226661216</v>
      </c>
      <c r="C183" s="43">
        <f t="shared" si="34"/>
        <v>385.0123865070935</v>
      </c>
      <c r="D183" s="43">
        <f t="shared" si="35"/>
        <v>384.017571609593</v>
      </c>
      <c r="E183" s="43">
        <f t="shared" si="36"/>
        <v>347.40302552725944</v>
      </c>
      <c r="F183" s="43">
        <f t="shared" si="37"/>
        <v>386.1774386730784</v>
      </c>
      <c r="G183" s="43">
        <f t="shared" si="38"/>
        <v>423.7236735876164</v>
      </c>
    </row>
    <row r="184" spans="1:7" ht="12.75">
      <c r="A184" s="112">
        <v>38352</v>
      </c>
      <c r="B184" s="43">
        <f t="shared" si="33"/>
        <v>385.91547986287674</v>
      </c>
      <c r="C184" s="43">
        <f t="shared" si="34"/>
        <v>408.77799958051673</v>
      </c>
      <c r="D184" s="43">
        <f t="shared" si="35"/>
        <v>405.5502032477143</v>
      </c>
      <c r="E184" s="43">
        <f t="shared" si="36"/>
        <v>367.16474145572386</v>
      </c>
      <c r="F184" s="43">
        <f t="shared" si="37"/>
        <v>409.517383212829</v>
      </c>
      <c r="G184" s="43">
        <f t="shared" si="38"/>
        <v>457.1179574302442</v>
      </c>
    </row>
    <row r="185" spans="1:7" ht="12.75">
      <c r="A185" s="112">
        <v>38442</v>
      </c>
      <c r="B185" s="43">
        <f t="shared" si="33"/>
        <v>396.22021370177777</v>
      </c>
      <c r="C185" s="43">
        <f t="shared" si="34"/>
        <v>401.0181517357676</v>
      </c>
      <c r="D185" s="43">
        <f t="shared" si="35"/>
        <v>408.42102220342815</v>
      </c>
      <c r="E185" s="43">
        <f t="shared" si="36"/>
        <v>360.74166048993993</v>
      </c>
      <c r="F185" s="43">
        <f t="shared" si="37"/>
        <v>406.90336203733216</v>
      </c>
      <c r="G185" s="43">
        <f t="shared" si="38"/>
        <v>442.0984617194176</v>
      </c>
    </row>
    <row r="186" spans="1:7" ht="12.75">
      <c r="A186" s="112">
        <v>38533</v>
      </c>
      <c r="B186" s="43">
        <f t="shared" si="33"/>
        <v>414.01579928157287</v>
      </c>
      <c r="C186" s="43">
        <f t="shared" si="34"/>
        <v>433.707613677192</v>
      </c>
      <c r="D186" s="43">
        <f t="shared" si="35"/>
        <v>436.98109776818666</v>
      </c>
      <c r="E186" s="43">
        <f t="shared" si="36"/>
        <v>387.8408796076575</v>
      </c>
      <c r="F186" s="43">
        <f t="shared" si="37"/>
        <v>438.51169540744155</v>
      </c>
      <c r="G186" s="43">
        <f t="shared" si="38"/>
        <v>478.60506972676296</v>
      </c>
    </row>
    <row r="187" spans="1:7" ht="12.75">
      <c r="A187" s="112">
        <v>38625</v>
      </c>
      <c r="B187" s="43">
        <f t="shared" si="33"/>
        <v>432.3034588806859</v>
      </c>
      <c r="C187" s="43">
        <f t="shared" si="34"/>
        <v>452.21831237743766</v>
      </c>
      <c r="D187" s="43">
        <f t="shared" si="35"/>
        <v>458.44096466982677</v>
      </c>
      <c r="E187" s="43">
        <f t="shared" si="36"/>
        <v>403.09531310989547</v>
      </c>
      <c r="F187" s="43">
        <f t="shared" si="37"/>
        <v>457.29596580605306</v>
      </c>
      <c r="G187" s="43">
        <f t="shared" si="38"/>
        <v>498.8799467122624</v>
      </c>
    </row>
    <row r="188" spans="1:7" ht="12.75">
      <c r="A188" s="112">
        <v>38717</v>
      </c>
      <c r="B188" s="43">
        <f t="shared" si="33"/>
        <v>458.56810829238646</v>
      </c>
      <c r="C188" s="43">
        <f t="shared" si="34"/>
        <v>494.7659975323717</v>
      </c>
      <c r="D188" s="43">
        <f t="shared" si="35"/>
        <v>486.17841388618905</v>
      </c>
      <c r="E188" s="43">
        <f t="shared" si="36"/>
        <v>438.04572319148923</v>
      </c>
      <c r="F188" s="43">
        <f t="shared" si="37"/>
        <v>506.9765211620893</v>
      </c>
      <c r="G188" s="43">
        <f t="shared" si="38"/>
        <v>551.7188399220502</v>
      </c>
    </row>
    <row r="189" spans="1:6" ht="12.75">
      <c r="A189" s="112"/>
      <c r="C189" s="5"/>
      <c r="D189" s="5"/>
      <c r="E189" s="5"/>
      <c r="F189" s="5"/>
    </row>
    <row r="190" spans="1:7" ht="16.5" thickBot="1">
      <c r="A190" s="117" t="s">
        <v>106</v>
      </c>
      <c r="B190" s="118"/>
      <c r="C190" s="118"/>
      <c r="D190" s="118"/>
      <c r="E190" s="118"/>
      <c r="F190" s="118"/>
      <c r="G190" s="35"/>
    </row>
    <row r="191" spans="2:6" s="116" customFormat="1" ht="25.5">
      <c r="B191" s="116" t="s">
        <v>1</v>
      </c>
      <c r="C191" s="116" t="s">
        <v>3</v>
      </c>
      <c r="D191" s="116" t="str">
        <f>+D3</f>
        <v>Lags 1-n Method</v>
      </c>
      <c r="E191" s="116" t="s">
        <v>4</v>
      </c>
      <c r="F191" s="116" t="s">
        <v>5</v>
      </c>
    </row>
    <row r="192" spans="1:7" ht="12.75">
      <c r="A192" s="112">
        <v>33603</v>
      </c>
      <c r="B192" s="43">
        <f aca="true" t="shared" si="39" ref="B192:G192">B132</f>
        <v>100</v>
      </c>
      <c r="C192" s="43">
        <f t="shared" si="39"/>
        <v>100</v>
      </c>
      <c r="D192" s="43">
        <f t="shared" si="39"/>
        <v>100</v>
      </c>
      <c r="E192" s="43">
        <f t="shared" si="39"/>
        <v>100</v>
      </c>
      <c r="F192" s="43">
        <f t="shared" si="39"/>
        <v>100</v>
      </c>
      <c r="G192" s="43">
        <f t="shared" si="39"/>
        <v>100</v>
      </c>
    </row>
    <row r="193" spans="1:7" ht="12.75">
      <c r="A193" s="112">
        <v>33969</v>
      </c>
      <c r="B193" s="43">
        <f aca="true" t="shared" si="40" ref="B193:G193">B136</f>
        <v>99.91684052114654</v>
      </c>
      <c r="C193" s="43">
        <f t="shared" si="40"/>
        <v>97.82492765936203</v>
      </c>
      <c r="D193" s="43">
        <f t="shared" si="40"/>
        <v>100.09114434819762</v>
      </c>
      <c r="E193" s="43">
        <f t="shared" si="40"/>
        <v>97.99947859054771</v>
      </c>
      <c r="F193" s="43">
        <f t="shared" si="40"/>
        <v>95.87727610843521</v>
      </c>
      <c r="G193" s="43">
        <f t="shared" si="40"/>
        <v>87.56430205161296</v>
      </c>
    </row>
    <row r="194" spans="1:7" ht="12.75">
      <c r="A194" s="112">
        <v>34334</v>
      </c>
      <c r="B194" s="43">
        <f aca="true" t="shared" si="41" ref="B194:G194">B140</f>
        <v>116.1937441389844</v>
      </c>
      <c r="C194" s="43">
        <f t="shared" si="41"/>
        <v>132.4844946512786</v>
      </c>
      <c r="D194" s="43">
        <f t="shared" si="41"/>
        <v>126.67163802856548</v>
      </c>
      <c r="E194" s="43">
        <f t="shared" si="41"/>
        <v>129.7484637011235</v>
      </c>
      <c r="F194" s="43">
        <f t="shared" si="41"/>
        <v>131.74338522282588</v>
      </c>
      <c r="G194" s="43">
        <f t="shared" si="41"/>
        <v>176.1490518219416</v>
      </c>
    </row>
    <row r="195" spans="1:7" ht="12.75">
      <c r="A195" s="112">
        <v>34699</v>
      </c>
      <c r="B195" s="43">
        <f aca="true" t="shared" si="42" ref="B195:G195">B144</f>
        <v>133.9211075105336</v>
      </c>
      <c r="C195" s="43">
        <f t="shared" si="42"/>
        <v>132.14070622130555</v>
      </c>
      <c r="D195" s="43">
        <f t="shared" si="42"/>
        <v>140.11316259715758</v>
      </c>
      <c r="E195" s="43">
        <f t="shared" si="42"/>
        <v>129.46973182883497</v>
      </c>
      <c r="F195" s="43">
        <f t="shared" si="42"/>
        <v>136.67322116834941</v>
      </c>
      <c r="G195" s="43">
        <f t="shared" si="42"/>
        <v>144.77831524340314</v>
      </c>
    </row>
    <row r="196" spans="1:7" ht="12.75">
      <c r="A196" s="112">
        <v>35064</v>
      </c>
      <c r="B196" s="43">
        <f aca="true" t="shared" si="43" ref="B196:G196">B148</f>
        <v>138.20649261554564</v>
      </c>
      <c r="C196" s="43">
        <f t="shared" si="43"/>
        <v>135.8901017923842</v>
      </c>
      <c r="D196" s="43">
        <f t="shared" si="43"/>
        <v>139.00506006295856</v>
      </c>
      <c r="E196" s="43">
        <f t="shared" si="43"/>
        <v>132.8537896532387</v>
      </c>
      <c r="F196" s="43">
        <f t="shared" si="43"/>
        <v>139.42732348134138</v>
      </c>
      <c r="G196" s="43">
        <f t="shared" si="43"/>
        <v>147.81788337051978</v>
      </c>
    </row>
    <row r="197" spans="1:7" ht="12.75">
      <c r="A197" s="112">
        <v>35430</v>
      </c>
      <c r="B197" s="43">
        <f aca="true" t="shared" si="44" ref="B197:G197">B152</f>
        <v>151.1298567307977</v>
      </c>
      <c r="C197" s="43">
        <f t="shared" si="44"/>
        <v>155.060158011988</v>
      </c>
      <c r="D197" s="43">
        <f t="shared" si="44"/>
        <v>155.90306471470655</v>
      </c>
      <c r="E197" s="43">
        <f t="shared" si="44"/>
        <v>150.05983796869364</v>
      </c>
      <c r="F197" s="43">
        <f t="shared" si="44"/>
        <v>157.92093122751868</v>
      </c>
      <c r="G197" s="43">
        <f t="shared" si="44"/>
        <v>173.83706801091049</v>
      </c>
    </row>
    <row r="198" spans="1:7" ht="12.75">
      <c r="A198" s="112">
        <v>35795</v>
      </c>
      <c r="B198" s="43">
        <f aca="true" t="shared" si="45" ref="B198:G198">B156</f>
        <v>174.44749384587226</v>
      </c>
      <c r="C198" s="43">
        <f t="shared" si="45"/>
        <v>184.38621042108497</v>
      </c>
      <c r="D198" s="43">
        <f t="shared" si="45"/>
        <v>183.56894456860616</v>
      </c>
      <c r="E198" s="43">
        <f t="shared" si="45"/>
        <v>176.08417771514345</v>
      </c>
      <c r="F198" s="43">
        <f t="shared" si="45"/>
        <v>186.7079963501078</v>
      </c>
      <c r="G198" s="43">
        <f t="shared" si="45"/>
        <v>209.3067612051307</v>
      </c>
    </row>
    <row r="199" spans="1:7" ht="12.75">
      <c r="A199" s="112">
        <v>36160</v>
      </c>
      <c r="B199" s="43">
        <f aca="true" t="shared" si="46" ref="B199:G199">B160</f>
        <v>195.64436647446198</v>
      </c>
      <c r="C199" s="43">
        <f t="shared" si="46"/>
        <v>195.13292625193967</v>
      </c>
      <c r="D199" s="43">
        <f t="shared" si="46"/>
        <v>198.76616386866553</v>
      </c>
      <c r="E199" s="43">
        <f t="shared" si="46"/>
        <v>185.53668599256022</v>
      </c>
      <c r="F199" s="43">
        <f t="shared" si="46"/>
        <v>199.45737412085603</v>
      </c>
      <c r="G199" s="43">
        <f t="shared" si="46"/>
        <v>212.83174536531365</v>
      </c>
    </row>
    <row r="200" spans="1:7" ht="12.75">
      <c r="A200" s="112">
        <v>36525</v>
      </c>
      <c r="B200" s="43">
        <f aca="true" t="shared" si="47" ref="B200:G200">B164</f>
        <v>223.29423703981075</v>
      </c>
      <c r="C200" s="43">
        <f t="shared" si="47"/>
        <v>232.61495223943857</v>
      </c>
      <c r="D200" s="43">
        <f t="shared" si="47"/>
        <v>231.03507101215428</v>
      </c>
      <c r="E200" s="43">
        <f t="shared" si="47"/>
        <v>218.21409251419794</v>
      </c>
      <c r="F200" s="43">
        <f t="shared" si="47"/>
        <v>233.82932300996862</v>
      </c>
      <c r="G200" s="43">
        <f t="shared" si="47"/>
        <v>257.3136569567208</v>
      </c>
    </row>
    <row r="201" spans="1:7" ht="12.75">
      <c r="A201" s="112">
        <v>36891</v>
      </c>
      <c r="B201" s="43">
        <f aca="true" t="shared" si="48" ref="B201:G201">B168</f>
        <v>246.76176770548273</v>
      </c>
      <c r="C201" s="43">
        <f t="shared" si="48"/>
        <v>247.53476571476523</v>
      </c>
      <c r="D201" s="43">
        <f t="shared" si="48"/>
        <v>252.79186835797861</v>
      </c>
      <c r="E201" s="43">
        <f t="shared" si="48"/>
        <v>231.08856273280665</v>
      </c>
      <c r="F201" s="43">
        <f t="shared" si="48"/>
        <v>252.0159781667317</v>
      </c>
      <c r="G201" s="43">
        <f t="shared" si="48"/>
        <v>269.0497596002319</v>
      </c>
    </row>
    <row r="202" spans="1:7" ht="12.75">
      <c r="A202" s="112">
        <v>37256</v>
      </c>
      <c r="B202" s="43">
        <f aca="true" t="shared" si="49" ref="B202:G202">B172</f>
        <v>264.18879753887893</v>
      </c>
      <c r="C202" s="43">
        <f t="shared" si="49"/>
        <v>263.9776805336978</v>
      </c>
      <c r="D202" s="43">
        <f t="shared" si="49"/>
        <v>268.79497327208486</v>
      </c>
      <c r="E202" s="43">
        <f t="shared" si="49"/>
        <v>245.20878396178196</v>
      </c>
      <c r="F202" s="43">
        <f t="shared" si="49"/>
        <v>267.9309900186577</v>
      </c>
      <c r="G202" s="43">
        <f t="shared" si="49"/>
        <v>287.8486880096918</v>
      </c>
    </row>
    <row r="203" spans="1:7" ht="12.75">
      <c r="A203" s="112">
        <v>37621</v>
      </c>
      <c r="B203" s="43">
        <f aca="true" t="shared" si="50" ref="B203:G203">B176</f>
        <v>291.79517105213233</v>
      </c>
      <c r="C203" s="43">
        <f t="shared" si="50"/>
        <v>294.56354322383567</v>
      </c>
      <c r="D203" s="43">
        <f t="shared" si="50"/>
        <v>296.8102151207213</v>
      </c>
      <c r="E203" s="43">
        <f t="shared" si="50"/>
        <v>271.31200325775364</v>
      </c>
      <c r="F203" s="43">
        <f t="shared" si="50"/>
        <v>298.14498045630666</v>
      </c>
      <c r="G203" s="43">
        <f t="shared" si="50"/>
        <v>321.41370209198334</v>
      </c>
    </row>
    <row r="204" spans="1:7" ht="12.75">
      <c r="A204" s="112">
        <v>37986</v>
      </c>
      <c r="B204" s="43">
        <f aca="true" t="shared" si="51" ref="B204:G204">B180</f>
        <v>324.5853859704329</v>
      </c>
      <c r="C204" s="43">
        <f t="shared" si="51"/>
        <v>333.5194000666265</v>
      </c>
      <c r="D204" s="43">
        <f t="shared" si="51"/>
        <v>334.5778132307793</v>
      </c>
      <c r="E204" s="43">
        <f t="shared" si="51"/>
        <v>304.2623997045463</v>
      </c>
      <c r="F204" s="43">
        <f t="shared" si="51"/>
        <v>335.4966356120644</v>
      </c>
      <c r="G204" s="43">
        <f t="shared" si="51"/>
        <v>363.40137882832073</v>
      </c>
    </row>
    <row r="205" spans="1:7" ht="12.75">
      <c r="A205" s="112">
        <v>38352</v>
      </c>
      <c r="B205" s="43">
        <f aca="true" t="shared" si="52" ref="B205:G205">B184</f>
        <v>385.91547986287674</v>
      </c>
      <c r="C205" s="43">
        <f t="shared" si="52"/>
        <v>408.77799958051673</v>
      </c>
      <c r="D205" s="43">
        <f t="shared" si="52"/>
        <v>405.5502032477143</v>
      </c>
      <c r="E205" s="43">
        <f t="shared" si="52"/>
        <v>367.16474145572386</v>
      </c>
      <c r="F205" s="43">
        <f t="shared" si="52"/>
        <v>409.517383212829</v>
      </c>
      <c r="G205" s="43">
        <f t="shared" si="52"/>
        <v>457.1179574302442</v>
      </c>
    </row>
    <row r="206" spans="1:7" ht="12.75">
      <c r="A206" s="112">
        <v>38717</v>
      </c>
      <c r="B206" s="43">
        <f aca="true" t="shared" si="53" ref="B206:G206">B188</f>
        <v>458.56810829238646</v>
      </c>
      <c r="C206" s="43">
        <f t="shared" si="53"/>
        <v>494.7659975323717</v>
      </c>
      <c r="D206" s="43">
        <f t="shared" si="53"/>
        <v>486.17841388618905</v>
      </c>
      <c r="E206" s="43">
        <f t="shared" si="53"/>
        <v>438.04572319148923</v>
      </c>
      <c r="F206" s="43">
        <f t="shared" si="53"/>
        <v>506.9765211620893</v>
      </c>
      <c r="G206" s="43">
        <f t="shared" si="53"/>
        <v>551.7188399220502</v>
      </c>
    </row>
    <row r="207" spans="1:7" ht="12.75">
      <c r="A207" s="112"/>
      <c r="B207" s="43"/>
      <c r="C207" s="43"/>
      <c r="D207" s="43"/>
      <c r="E207" s="43"/>
      <c r="F207" s="43"/>
      <c r="G207" s="43"/>
    </row>
    <row r="208" spans="1:7" ht="16.5" thickBot="1">
      <c r="A208" s="119" t="s">
        <v>0</v>
      </c>
      <c r="B208" s="118"/>
      <c r="C208" s="118"/>
      <c r="D208" s="118"/>
      <c r="E208" s="118"/>
      <c r="F208" s="118"/>
      <c r="G208" s="35"/>
    </row>
    <row r="209" spans="2:7" s="116" customFormat="1" ht="25.5">
      <c r="B209" s="116" t="str">
        <f aca="true" t="shared" si="54" ref="B209:G209">+B11</f>
        <v>IPD Actual</v>
      </c>
      <c r="C209" s="116" t="str">
        <f t="shared" si="54"/>
        <v>Lag 1 Method</v>
      </c>
      <c r="D209" s="116" t="str">
        <f t="shared" si="54"/>
        <v>Lags 1-n Method</v>
      </c>
      <c r="E209" s="116" t="str">
        <f t="shared" si="54"/>
        <v>Equity Volatility</v>
      </c>
      <c r="F209" s="116" t="str">
        <f t="shared" si="54"/>
        <v>Market States</v>
      </c>
      <c r="G209" s="116" t="str">
        <f t="shared" si="54"/>
        <v>Time Varying</v>
      </c>
    </row>
    <row r="210" spans="1:7" ht="12.75">
      <c r="A210" s="112">
        <v>33969</v>
      </c>
      <c r="B210" s="5">
        <f aca="true" t="shared" si="55" ref="B210:G223">(B193/B192-1)*100</f>
        <v>-0.0831594788534562</v>
      </c>
      <c r="C210" s="5">
        <f t="shared" si="55"/>
        <v>-2.1750723406379624</v>
      </c>
      <c r="D210" s="5">
        <f t="shared" si="55"/>
        <v>0.09114434819761374</v>
      </c>
      <c r="E210" s="5">
        <f t="shared" si="55"/>
        <v>-2.000521409452294</v>
      </c>
      <c r="F210" s="5">
        <f t="shared" si="55"/>
        <v>-4.1227238915647835</v>
      </c>
      <c r="G210" s="5">
        <f t="shared" si="55"/>
        <v>-12.435697948387048</v>
      </c>
    </row>
    <row r="211" spans="1:7" ht="12.75">
      <c r="A211" s="112">
        <v>34334</v>
      </c>
      <c r="B211" s="5">
        <f t="shared" si="55"/>
        <v>16.29045067171935</v>
      </c>
      <c r="C211" s="5">
        <f t="shared" si="55"/>
        <v>35.43019946061732</v>
      </c>
      <c r="D211" s="5">
        <f t="shared" si="55"/>
        <v>26.55628912374055</v>
      </c>
      <c r="E211" s="5">
        <f t="shared" si="55"/>
        <v>32.39709595111873</v>
      </c>
      <c r="F211" s="5">
        <f t="shared" si="55"/>
        <v>37.40835218746395</v>
      </c>
      <c r="G211" s="5">
        <f t="shared" si="55"/>
        <v>101.16536955677921</v>
      </c>
    </row>
    <row r="212" spans="1:7" ht="12.75">
      <c r="A212" s="112">
        <v>34699</v>
      </c>
      <c r="B212" s="5">
        <f t="shared" si="55"/>
        <v>15.256727892634858</v>
      </c>
      <c r="C212" s="5">
        <f t="shared" si="55"/>
        <v>-0.25949333231632954</v>
      </c>
      <c r="D212" s="5">
        <f t="shared" si="55"/>
        <v>10.611313454051107</v>
      </c>
      <c r="E212" s="5">
        <f t="shared" si="55"/>
        <v>-0.2148247958685734</v>
      </c>
      <c r="F212" s="5">
        <f t="shared" si="55"/>
        <v>3.7419988390198</v>
      </c>
      <c r="G212" s="5">
        <f t="shared" si="55"/>
        <v>-17.809199796459442</v>
      </c>
    </row>
    <row r="213" spans="1:7" ht="12.75">
      <c r="A213" s="112">
        <v>35064</v>
      </c>
      <c r="B213" s="5">
        <f t="shared" si="55"/>
        <v>3.1999325458647254</v>
      </c>
      <c r="C213" s="5">
        <f t="shared" si="55"/>
        <v>2.8374266176535157</v>
      </c>
      <c r="D213" s="5">
        <f t="shared" si="55"/>
        <v>-0.7908625525675617</v>
      </c>
      <c r="E213" s="5">
        <f t="shared" si="55"/>
        <v>2.613782987422586</v>
      </c>
      <c r="F213" s="5">
        <f t="shared" si="55"/>
        <v>2.015100170646855</v>
      </c>
      <c r="G213" s="5">
        <f t="shared" si="55"/>
        <v>2.0994636676124223</v>
      </c>
    </row>
    <row r="214" spans="1:7" ht="12.75">
      <c r="A214" s="112">
        <v>35430</v>
      </c>
      <c r="B214" s="5">
        <f t="shared" si="55"/>
        <v>9.350764837945412</v>
      </c>
      <c r="C214" s="5">
        <f t="shared" si="55"/>
        <v>14.107029111577397</v>
      </c>
      <c r="D214" s="5">
        <f t="shared" si="55"/>
        <v>12.156395345676252</v>
      </c>
      <c r="E214" s="5">
        <f t="shared" si="55"/>
        <v>12.95111593004943</v>
      </c>
      <c r="F214" s="5">
        <f t="shared" si="55"/>
        <v>13.263976733120163</v>
      </c>
      <c r="G214" s="5">
        <f t="shared" si="55"/>
        <v>17.60218996991798</v>
      </c>
    </row>
    <row r="215" spans="1:7" ht="12.75">
      <c r="A215" s="112">
        <v>35795</v>
      </c>
      <c r="B215" s="5">
        <f t="shared" si="55"/>
        <v>15.42887528611201</v>
      </c>
      <c r="C215" s="5">
        <f t="shared" si="55"/>
        <v>18.912693489471177</v>
      </c>
      <c r="D215" s="5">
        <f t="shared" si="55"/>
        <v>17.745565107733153</v>
      </c>
      <c r="E215" s="5">
        <f t="shared" si="55"/>
        <v>17.342641508035726</v>
      </c>
      <c r="F215" s="5">
        <f t="shared" si="55"/>
        <v>18.228783796313387</v>
      </c>
      <c r="G215" s="5">
        <f t="shared" si="55"/>
        <v>20.403987250862986</v>
      </c>
    </row>
    <row r="216" spans="1:7" ht="12.75">
      <c r="A216" s="112">
        <v>36160</v>
      </c>
      <c r="B216" s="5">
        <f t="shared" si="55"/>
        <v>12.15086107646668</v>
      </c>
      <c r="C216" s="5">
        <f t="shared" si="55"/>
        <v>5.8283728519135325</v>
      </c>
      <c r="D216" s="5">
        <f t="shared" si="55"/>
        <v>8.278752888062524</v>
      </c>
      <c r="E216" s="5">
        <f t="shared" si="55"/>
        <v>5.368175835030664</v>
      </c>
      <c r="F216" s="5">
        <f t="shared" si="55"/>
        <v>6.8285119116382464</v>
      </c>
      <c r="G216" s="5">
        <f t="shared" si="55"/>
        <v>1.6841234080958722</v>
      </c>
    </row>
    <row r="217" spans="1:7" ht="12.75">
      <c r="A217" s="112">
        <v>36525</v>
      </c>
      <c r="B217" s="5">
        <f t="shared" si="55"/>
        <v>14.132720028490064</v>
      </c>
      <c r="C217" s="5">
        <f t="shared" si="55"/>
        <v>19.208457899670496</v>
      </c>
      <c r="D217" s="5">
        <f t="shared" si="55"/>
        <v>16.234607800153732</v>
      </c>
      <c r="E217" s="5">
        <f t="shared" si="55"/>
        <v>17.612369406526994</v>
      </c>
      <c r="F217" s="5">
        <f t="shared" si="55"/>
        <v>17.23272906836013</v>
      </c>
      <c r="G217" s="5">
        <f t="shared" si="55"/>
        <v>20.900036089567607</v>
      </c>
    </row>
    <row r="218" spans="1:7" ht="12.75">
      <c r="A218" s="112">
        <v>36891</v>
      </c>
      <c r="B218" s="5">
        <f t="shared" si="55"/>
        <v>10.509689357315555</v>
      </c>
      <c r="C218" s="5">
        <f t="shared" si="55"/>
        <v>6.41395290014255</v>
      </c>
      <c r="D218" s="5">
        <f t="shared" si="55"/>
        <v>9.417097261687935</v>
      </c>
      <c r="E218" s="5">
        <f t="shared" si="55"/>
        <v>5.899926109387743</v>
      </c>
      <c r="F218" s="5">
        <f t="shared" si="55"/>
        <v>7.777747855852857</v>
      </c>
      <c r="G218" s="5">
        <f t="shared" si="55"/>
        <v>4.561010395761866</v>
      </c>
    </row>
    <row r="219" spans="1:7" ht="12.75">
      <c r="A219" s="112">
        <v>37256</v>
      </c>
      <c r="B219" s="5">
        <f t="shared" si="55"/>
        <v>7.062289266056743</v>
      </c>
      <c r="C219" s="5">
        <f t="shared" si="55"/>
        <v>6.642668867725754</v>
      </c>
      <c r="D219" s="5">
        <f t="shared" si="55"/>
        <v>6.330545764013351</v>
      </c>
      <c r="E219" s="5">
        <f t="shared" si="55"/>
        <v>6.1103072614206555</v>
      </c>
      <c r="F219" s="5">
        <f t="shared" si="55"/>
        <v>6.31508048326872</v>
      </c>
      <c r="G219" s="5">
        <f t="shared" si="55"/>
        <v>6.987156739107414</v>
      </c>
    </row>
    <row r="220" spans="1:7" ht="12.75">
      <c r="A220" s="112">
        <v>37621</v>
      </c>
      <c r="B220" s="5">
        <f t="shared" si="55"/>
        <v>10.449486795211582</v>
      </c>
      <c r="C220" s="5">
        <f t="shared" si="55"/>
        <v>11.586533614622564</v>
      </c>
      <c r="D220" s="5">
        <f t="shared" si="55"/>
        <v>10.422531905117992</v>
      </c>
      <c r="E220" s="5">
        <f t="shared" si="55"/>
        <v>10.645303514102533</v>
      </c>
      <c r="F220" s="5">
        <f t="shared" si="55"/>
        <v>11.276780799244213</v>
      </c>
      <c r="G220" s="5">
        <f t="shared" si="55"/>
        <v>11.660645151580962</v>
      </c>
    </row>
    <row r="221" spans="1:7" ht="12.75">
      <c r="A221" s="112">
        <v>37986</v>
      </c>
      <c r="B221" s="5">
        <f t="shared" si="55"/>
        <v>11.237408350545408</v>
      </c>
      <c r="C221" s="5">
        <f t="shared" si="55"/>
        <v>13.224941693883906</v>
      </c>
      <c r="D221" s="5">
        <f t="shared" si="55"/>
        <v>12.724494032220846</v>
      </c>
      <c r="E221" s="5">
        <f t="shared" si="55"/>
        <v>12.144835485029715</v>
      </c>
      <c r="F221" s="5">
        <f t="shared" si="55"/>
        <v>12.528017442585003</v>
      </c>
      <c r="G221" s="5">
        <f t="shared" si="55"/>
        <v>13.063437079082952</v>
      </c>
    </row>
    <row r="222" spans="1:7" ht="12.75">
      <c r="A222" s="112">
        <v>38352</v>
      </c>
      <c r="B222" s="5">
        <f t="shared" si="55"/>
        <v>18.894903018840935</v>
      </c>
      <c r="C222" s="5">
        <f t="shared" si="55"/>
        <v>22.564984075545837</v>
      </c>
      <c r="D222" s="5">
        <f t="shared" si="55"/>
        <v>21.212521335950285</v>
      </c>
      <c r="E222" s="5">
        <f t="shared" si="55"/>
        <v>20.673715126239344</v>
      </c>
      <c r="F222" s="5">
        <f t="shared" si="55"/>
        <v>22.063037224121373</v>
      </c>
      <c r="G222" s="5">
        <f t="shared" si="55"/>
        <v>25.788724001016348</v>
      </c>
    </row>
    <row r="223" spans="1:7" ht="12.75">
      <c r="A223" s="112">
        <v>38717</v>
      </c>
      <c r="B223" s="5">
        <f t="shared" si="55"/>
        <v>18.826046691706843</v>
      </c>
      <c r="C223" s="5">
        <f t="shared" si="55"/>
        <v>21.0353781368114</v>
      </c>
      <c r="D223" s="5">
        <f t="shared" si="55"/>
        <v>19.881191032032653</v>
      </c>
      <c r="E223" s="5">
        <f t="shared" si="55"/>
        <v>19.304953262870118</v>
      </c>
      <c r="F223" s="5">
        <f t="shared" si="55"/>
        <v>23.798535042555223</v>
      </c>
      <c r="G223" s="5">
        <f t="shared" si="55"/>
        <v>20.695070266681004</v>
      </c>
    </row>
    <row r="224" spans="1:6" ht="12.75">
      <c r="A224" s="112"/>
      <c r="C224" s="5"/>
      <c r="D224" s="5"/>
      <c r="E224" s="5"/>
      <c r="F224" s="5"/>
    </row>
    <row r="225" spans="1:7" ht="12.75">
      <c r="A225" s="112"/>
      <c r="C225" s="5"/>
      <c r="D225" s="5"/>
      <c r="E225" s="5"/>
      <c r="F225" s="5"/>
      <c r="G225" s="5"/>
    </row>
    <row r="226" spans="1:7" ht="12.75">
      <c r="A226" s="112"/>
      <c r="C226" s="5"/>
      <c r="D226" s="5"/>
      <c r="E226" s="5"/>
      <c r="F226" s="5"/>
      <c r="G226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/>
  <dimension ref="A1:AJ574"/>
  <sheetViews>
    <sheetView workbookViewId="0" topLeftCell="W420">
      <selection activeCell="AG422" sqref="AG422"/>
    </sheetView>
  </sheetViews>
  <sheetFormatPr defaultColWidth="9.140625" defaultRowHeight="12.75"/>
  <cols>
    <col min="1" max="1" width="9.140625" style="20" customWidth="1"/>
    <col min="3" max="3" width="9.57421875" style="0" bestFit="1" customWidth="1"/>
  </cols>
  <sheetData>
    <row r="1" spans="1:15" ht="12.75">
      <c r="A1" s="17"/>
      <c r="B1" s="18" t="s">
        <v>23</v>
      </c>
      <c r="E1" t="s">
        <v>24</v>
      </c>
      <c r="I1" s="21">
        <v>31777</v>
      </c>
      <c r="J1" s="22">
        <v>100</v>
      </c>
      <c r="N1" s="17"/>
      <c r="O1" s="18" t="s">
        <v>23</v>
      </c>
    </row>
    <row r="2" spans="1:15" ht="12.75">
      <c r="A2" s="17">
        <v>29221</v>
      </c>
      <c r="B2" s="19">
        <v>174</v>
      </c>
      <c r="I2" s="23">
        <v>31808</v>
      </c>
      <c r="J2" s="22">
        <v>100.74841936045844</v>
      </c>
      <c r="N2" s="17">
        <v>29221</v>
      </c>
      <c r="O2" s="19">
        <v>174</v>
      </c>
    </row>
    <row r="3" spans="1:15" ht="12.75">
      <c r="A3" s="17">
        <v>29312</v>
      </c>
      <c r="B3" s="19">
        <v>180</v>
      </c>
      <c r="E3" t="s">
        <v>25</v>
      </c>
      <c r="I3" s="23">
        <v>31836</v>
      </c>
      <c r="J3" s="22">
        <v>101.60546073702112</v>
      </c>
      <c r="N3" s="17">
        <v>29312</v>
      </c>
      <c r="O3" s="19">
        <v>180</v>
      </c>
    </row>
    <row r="4" spans="1:15" ht="12.75">
      <c r="A4" s="17">
        <v>29403</v>
      </c>
      <c r="B4" s="19">
        <v>185</v>
      </c>
      <c r="I4" s="23">
        <v>31867</v>
      </c>
      <c r="J4" s="22">
        <v>102.90950090139023</v>
      </c>
      <c r="K4">
        <v>2.9095009013902384</v>
      </c>
      <c r="N4" s="17">
        <v>29403</v>
      </c>
      <c r="O4" s="19">
        <v>185</v>
      </c>
    </row>
    <row r="5" spans="1:15" ht="12.75">
      <c r="A5" s="17">
        <v>29495</v>
      </c>
      <c r="B5" s="19">
        <v>193</v>
      </c>
      <c r="E5" s="21">
        <v>31777</v>
      </c>
      <c r="F5" s="22">
        <v>100</v>
      </c>
      <c r="I5" s="21">
        <v>31958</v>
      </c>
      <c r="J5" s="22">
        <v>108.91601070822381</v>
      </c>
      <c r="K5">
        <v>5.836691223086521</v>
      </c>
      <c r="N5" s="17">
        <v>29495</v>
      </c>
      <c r="O5" s="19">
        <v>193</v>
      </c>
    </row>
    <row r="6" spans="1:16" ht="12.75">
      <c r="A6" s="17">
        <v>29587</v>
      </c>
      <c r="B6" s="19">
        <v>199</v>
      </c>
      <c r="C6">
        <f>+B6/B2</f>
        <v>1.1436781609195403</v>
      </c>
      <c r="E6" s="23">
        <v>31808</v>
      </c>
      <c r="F6" s="22">
        <v>100.74841936045844</v>
      </c>
      <c r="G6">
        <f>(F6/F5-1)*100</f>
        <v>0.748419360458441</v>
      </c>
      <c r="I6" s="23">
        <v>32050</v>
      </c>
      <c r="J6" s="22">
        <v>114.71090416669145</v>
      </c>
      <c r="K6">
        <v>5.320515708192475</v>
      </c>
      <c r="N6" s="17">
        <v>29587</v>
      </c>
      <c r="O6" s="19">
        <v>199</v>
      </c>
      <c r="P6" s="25">
        <v>14.367816091954033</v>
      </c>
    </row>
    <row r="7" spans="1:16" ht="12.75">
      <c r="A7" s="17">
        <v>29677</v>
      </c>
      <c r="B7" s="19">
        <v>211</v>
      </c>
      <c r="E7" s="23">
        <v>31836</v>
      </c>
      <c r="F7" s="22">
        <v>101.60546073702112</v>
      </c>
      <c r="G7">
        <f aca="true" t="shared" si="0" ref="G7:G70">(F7/F6-1)*100</f>
        <v>0.8506747619497101</v>
      </c>
      <c r="I7" s="21">
        <v>32142</v>
      </c>
      <c r="J7" s="22">
        <v>122.40835687377431</v>
      </c>
      <c r="K7">
        <v>6.710306019292944</v>
      </c>
      <c r="N7" s="17">
        <v>29952</v>
      </c>
      <c r="O7" s="19">
        <v>236</v>
      </c>
      <c r="P7" s="25">
        <v>18.592964824120607</v>
      </c>
    </row>
    <row r="8" spans="1:16" ht="12.75">
      <c r="A8" s="17">
        <v>29768</v>
      </c>
      <c r="B8" s="19">
        <v>217</v>
      </c>
      <c r="E8" s="23">
        <v>31867</v>
      </c>
      <c r="F8" s="22">
        <v>102.90950090139023</v>
      </c>
      <c r="G8">
        <f t="shared" si="0"/>
        <v>1.283435117472953</v>
      </c>
      <c r="I8" s="23">
        <v>32233</v>
      </c>
      <c r="J8" s="22">
        <v>128.90886854961806</v>
      </c>
      <c r="K8">
        <v>5.310512976288861</v>
      </c>
      <c r="N8" s="17">
        <v>30317</v>
      </c>
      <c r="O8" s="19">
        <v>250</v>
      </c>
      <c r="P8" s="25">
        <v>5.932203389830515</v>
      </c>
    </row>
    <row r="9" spans="1:16" ht="12.75">
      <c r="A9" s="17">
        <v>29860</v>
      </c>
      <c r="B9" s="19">
        <v>226</v>
      </c>
      <c r="E9" s="23">
        <v>31897</v>
      </c>
      <c r="F9" s="22">
        <v>104.68472062215601</v>
      </c>
      <c r="G9">
        <f t="shared" si="0"/>
        <v>1.7250299585718665</v>
      </c>
      <c r="I9" s="21">
        <v>32324</v>
      </c>
      <c r="J9" s="22">
        <v>140.30061325013637</v>
      </c>
      <c r="K9">
        <v>8.837052740194927</v>
      </c>
      <c r="N9" s="17">
        <v>30682</v>
      </c>
      <c r="O9" s="19">
        <v>268</v>
      </c>
      <c r="P9" s="25">
        <v>7.200000000000006</v>
      </c>
    </row>
    <row r="10" spans="1:16" ht="12.75">
      <c r="A10" s="17">
        <v>29952</v>
      </c>
      <c r="B10" s="19">
        <v>236</v>
      </c>
      <c r="E10" s="23">
        <v>31928</v>
      </c>
      <c r="F10" s="22">
        <v>106.12253351853096</v>
      </c>
      <c r="G10">
        <f t="shared" si="0"/>
        <v>1.3734696790800305</v>
      </c>
      <c r="I10" s="23">
        <v>32416</v>
      </c>
      <c r="J10" s="22">
        <v>153.58191129606183</v>
      </c>
      <c r="K10">
        <v>9.466315034736716</v>
      </c>
      <c r="N10" s="17">
        <v>31048</v>
      </c>
      <c r="O10" s="19">
        <v>294</v>
      </c>
      <c r="P10" s="25">
        <v>9.701492537313428</v>
      </c>
    </row>
    <row r="11" spans="1:16" ht="12.75">
      <c r="A11" s="17">
        <v>30042</v>
      </c>
      <c r="B11" s="19">
        <v>246</v>
      </c>
      <c r="E11" s="21">
        <v>31958</v>
      </c>
      <c r="F11" s="22">
        <v>108.91601070822381</v>
      </c>
      <c r="G11">
        <f t="shared" si="0"/>
        <v>2.6323129471885975</v>
      </c>
      <c r="I11" s="21">
        <v>32508</v>
      </c>
      <c r="J11" s="22">
        <v>163.86549908488223</v>
      </c>
      <c r="K11">
        <v>6.695832668078072</v>
      </c>
      <c r="N11" s="17">
        <v>31413</v>
      </c>
      <c r="O11" s="19">
        <v>316</v>
      </c>
      <c r="P11" s="25">
        <v>7.48299319727892</v>
      </c>
    </row>
    <row r="12" spans="1:16" ht="12.75">
      <c r="A12" s="17">
        <v>30133</v>
      </c>
      <c r="B12" s="19">
        <v>251</v>
      </c>
      <c r="E12" s="23">
        <v>31989</v>
      </c>
      <c r="F12" s="22">
        <v>110.6810952338137</v>
      </c>
      <c r="G12">
        <f t="shared" si="0"/>
        <v>1.6205923390991694</v>
      </c>
      <c r="I12" s="23">
        <v>32598</v>
      </c>
      <c r="J12" s="22">
        <v>173.2818458705317</v>
      </c>
      <c r="K12">
        <v>5.746387640007011</v>
      </c>
      <c r="N12" s="17">
        <v>31778</v>
      </c>
      <c r="O12" s="19">
        <v>349</v>
      </c>
      <c r="P12" s="25">
        <v>10.443037974683534</v>
      </c>
    </row>
    <row r="13" spans="1:16" ht="12.75">
      <c r="A13" s="17">
        <v>30225</v>
      </c>
      <c r="B13" s="19">
        <v>248</v>
      </c>
      <c r="E13" s="23">
        <v>32020</v>
      </c>
      <c r="F13" s="22">
        <v>112.45816314243933</v>
      </c>
      <c r="G13">
        <f t="shared" si="0"/>
        <v>1.6055749221414617</v>
      </c>
      <c r="I13" s="21">
        <v>32689</v>
      </c>
      <c r="J13" s="22">
        <v>182.30246784207762</v>
      </c>
      <c r="K13">
        <v>5.205751315856655</v>
      </c>
      <c r="N13" s="17">
        <v>32143</v>
      </c>
      <c r="O13" s="19">
        <v>413</v>
      </c>
      <c r="P13" s="25">
        <v>18.338108882521496</v>
      </c>
    </row>
    <row r="14" spans="1:16" ht="12.75">
      <c r="A14" s="17">
        <v>30317</v>
      </c>
      <c r="B14" s="19">
        <v>250</v>
      </c>
      <c r="E14" s="23">
        <v>32050</v>
      </c>
      <c r="F14" s="22">
        <v>114.71090416669145</v>
      </c>
      <c r="G14">
        <f t="shared" si="0"/>
        <v>2.0031814154734207</v>
      </c>
      <c r="I14" s="23">
        <v>32781</v>
      </c>
      <c r="J14" s="22">
        <v>191.2566454786745</v>
      </c>
      <c r="K14">
        <v>4.91171498805687</v>
      </c>
      <c r="N14" s="17">
        <v>32509</v>
      </c>
      <c r="O14" s="19">
        <v>537</v>
      </c>
      <c r="P14" s="25">
        <v>30.024213075060537</v>
      </c>
    </row>
    <row r="15" spans="1:16" ht="12.75">
      <c r="A15" s="17">
        <v>30407</v>
      </c>
      <c r="B15" s="19">
        <v>252</v>
      </c>
      <c r="E15" s="23">
        <v>32081</v>
      </c>
      <c r="F15" s="22">
        <v>116.84669276631503</v>
      </c>
      <c r="G15">
        <f t="shared" si="0"/>
        <v>1.8618880350903533</v>
      </c>
      <c r="I15" s="21">
        <v>32873</v>
      </c>
      <c r="J15" s="22">
        <v>189.11699420124282</v>
      </c>
      <c r="K15">
        <v>-1.1187330364791248</v>
      </c>
      <c r="N15" s="17">
        <v>32874</v>
      </c>
      <c r="O15" s="19">
        <v>640</v>
      </c>
      <c r="P15" s="25">
        <v>19.180633147113603</v>
      </c>
    </row>
    <row r="16" spans="1:16" ht="12.75">
      <c r="A16" s="17">
        <v>30498</v>
      </c>
      <c r="B16" s="19">
        <v>257</v>
      </c>
      <c r="E16" s="23">
        <v>32111</v>
      </c>
      <c r="F16" s="22">
        <v>119.94347726228752</v>
      </c>
      <c r="G16">
        <f t="shared" si="0"/>
        <v>2.6502970881391086</v>
      </c>
      <c r="I16" s="23">
        <v>32963</v>
      </c>
      <c r="J16" s="22">
        <v>187.50469255397212</v>
      </c>
      <c r="K16">
        <v>-0.852541916753935</v>
      </c>
      <c r="N16" s="17">
        <v>33239</v>
      </c>
      <c r="O16" s="19">
        <v>605</v>
      </c>
      <c r="P16" s="25">
        <v>-5.46875</v>
      </c>
    </row>
    <row r="17" spans="1:16" ht="12.75">
      <c r="A17" s="17">
        <v>30590</v>
      </c>
      <c r="B17" s="19">
        <v>262</v>
      </c>
      <c r="E17" s="21">
        <v>32142</v>
      </c>
      <c r="F17" s="22">
        <v>122.40835687377431</v>
      </c>
      <c r="G17">
        <f t="shared" si="0"/>
        <v>2.055034310950221</v>
      </c>
      <c r="I17" s="21">
        <v>33054</v>
      </c>
      <c r="J17" s="22">
        <v>183.18563179990736</v>
      </c>
      <c r="K17">
        <v>-2.303441420710872</v>
      </c>
      <c r="N17" s="17">
        <v>33604</v>
      </c>
      <c r="O17" s="19">
        <v>589.57</v>
      </c>
      <c r="P17" s="25">
        <v>-2.550413223140491</v>
      </c>
    </row>
    <row r="18" spans="1:16" ht="12.75">
      <c r="A18" s="17">
        <v>30682</v>
      </c>
      <c r="B18" s="19">
        <v>268</v>
      </c>
      <c r="E18" s="23">
        <v>32173</v>
      </c>
      <c r="F18" s="22">
        <v>124.9013932121958</v>
      </c>
      <c r="G18">
        <f t="shared" si="0"/>
        <v>2.036655341262583</v>
      </c>
      <c r="I18" s="23">
        <v>33146</v>
      </c>
      <c r="J18" s="22">
        <v>174.38435735583516</v>
      </c>
      <c r="K18">
        <v>-4.804565924518456</v>
      </c>
      <c r="N18" s="17">
        <v>33970</v>
      </c>
      <c r="O18" s="19">
        <v>566.5</v>
      </c>
      <c r="P18" s="25">
        <v>-3.913021354546542</v>
      </c>
    </row>
    <row r="19" spans="1:16" ht="12.75">
      <c r="A19" s="17">
        <v>30773</v>
      </c>
      <c r="B19" s="19">
        <v>275</v>
      </c>
      <c r="E19" s="23">
        <v>32202</v>
      </c>
      <c r="F19" s="22">
        <v>126.64412879760035</v>
      </c>
      <c r="G19">
        <f t="shared" si="0"/>
        <v>1.3952891481713081</v>
      </c>
      <c r="I19" s="21">
        <v>33238</v>
      </c>
      <c r="J19" s="22">
        <v>173.00499453211265</v>
      </c>
      <c r="K19">
        <v>-0.7909899974043566</v>
      </c>
      <c r="N19" s="17">
        <v>34335</v>
      </c>
      <c r="O19" s="19">
        <v>681.03</v>
      </c>
      <c r="P19" s="25">
        <v>20.217122683142087</v>
      </c>
    </row>
    <row r="20" spans="1:16" ht="12.75">
      <c r="A20" s="17">
        <v>30864</v>
      </c>
      <c r="B20" s="19">
        <v>280</v>
      </c>
      <c r="E20" s="23">
        <v>32233</v>
      </c>
      <c r="F20" s="22">
        <v>128.90886854961806</v>
      </c>
      <c r="G20">
        <f t="shared" si="0"/>
        <v>1.788270623770627</v>
      </c>
      <c r="I20" s="23">
        <v>33328</v>
      </c>
      <c r="J20" s="22">
        <v>167.52935127027115</v>
      </c>
      <c r="K20">
        <v>-3.16502033750542</v>
      </c>
      <c r="N20" s="17">
        <v>34700</v>
      </c>
      <c r="O20" s="19">
        <v>778.04</v>
      </c>
      <c r="P20" s="25">
        <v>14.244600091038585</v>
      </c>
    </row>
    <row r="21" spans="1:16" ht="12.75">
      <c r="A21" s="17">
        <v>30956</v>
      </c>
      <c r="B21" s="19">
        <v>285</v>
      </c>
      <c r="E21" s="23">
        <v>32263</v>
      </c>
      <c r="F21" s="22">
        <v>131.64836057551398</v>
      </c>
      <c r="G21">
        <f t="shared" si="0"/>
        <v>2.125138523608605</v>
      </c>
      <c r="I21" s="21">
        <v>33419</v>
      </c>
      <c r="J21" s="22">
        <v>168.07809407471527</v>
      </c>
      <c r="K21">
        <v>0.32755024733477356</v>
      </c>
      <c r="N21" s="17">
        <v>35065</v>
      </c>
      <c r="O21" s="19">
        <v>805.86</v>
      </c>
      <c r="P21" s="25">
        <v>3.575651637447952</v>
      </c>
    </row>
    <row r="22" spans="1:16" ht="12.75">
      <c r="A22" s="17">
        <v>31048</v>
      </c>
      <c r="B22" s="19">
        <v>294</v>
      </c>
      <c r="E22" s="23">
        <v>32294</v>
      </c>
      <c r="F22" s="22">
        <v>136.32536725670442</v>
      </c>
      <c r="G22">
        <f t="shared" si="0"/>
        <v>3.552650910914834</v>
      </c>
      <c r="I22" s="23">
        <v>33511</v>
      </c>
      <c r="J22" s="22">
        <v>168.3088489839837</v>
      </c>
      <c r="K22">
        <v>0.1372902938593823</v>
      </c>
      <c r="N22" s="17">
        <v>35431</v>
      </c>
      <c r="O22" s="19">
        <v>871</v>
      </c>
      <c r="P22" s="25">
        <v>8.083289901471712</v>
      </c>
    </row>
    <row r="23" spans="1:16" ht="12.75">
      <c r="A23" s="17">
        <v>31138</v>
      </c>
      <c r="B23" s="19">
        <v>300</v>
      </c>
      <c r="E23" s="21">
        <v>32324</v>
      </c>
      <c r="F23" s="22">
        <v>140.30061325013637</v>
      </c>
      <c r="G23">
        <f t="shared" si="0"/>
        <v>2.9159987414128397</v>
      </c>
      <c r="I23" s="21">
        <v>33603</v>
      </c>
      <c r="J23" s="22">
        <v>170.70710164799286</v>
      </c>
      <c r="K23">
        <v>1.424911808551066</v>
      </c>
      <c r="N23" s="17">
        <v>35796</v>
      </c>
      <c r="O23" s="19">
        <v>1021.8</v>
      </c>
      <c r="P23" s="25">
        <v>17.313432835820898</v>
      </c>
    </row>
    <row r="24" spans="1:16" ht="12.75">
      <c r="A24" s="17">
        <v>31229</v>
      </c>
      <c r="B24" s="19">
        <v>307</v>
      </c>
      <c r="E24" s="23">
        <v>32355</v>
      </c>
      <c r="F24" s="22">
        <v>145.26605023256434</v>
      </c>
      <c r="G24">
        <f t="shared" si="0"/>
        <v>3.5391413247604975</v>
      </c>
      <c r="I24" s="23">
        <v>33694</v>
      </c>
      <c r="J24" s="22">
        <v>172.71637546258353</v>
      </c>
      <c r="K24">
        <v>1.1770300094098518</v>
      </c>
      <c r="N24" s="17">
        <v>36161</v>
      </c>
      <c r="O24" s="19">
        <v>1144.0853957900613</v>
      </c>
      <c r="P24" s="25">
        <v>11.967644919755461</v>
      </c>
    </row>
    <row r="25" spans="1:16" ht="12.75">
      <c r="A25" s="17">
        <v>31321</v>
      </c>
      <c r="B25" s="19">
        <v>310</v>
      </c>
      <c r="E25" s="23">
        <v>32386</v>
      </c>
      <c r="F25" s="22">
        <v>149.27556626183232</v>
      </c>
      <c r="G25">
        <f t="shared" si="0"/>
        <v>2.760119121328719</v>
      </c>
      <c r="I25" s="21">
        <v>33785</v>
      </c>
      <c r="J25" s="22">
        <v>172.87859024884278</v>
      </c>
      <c r="K25">
        <v>0.09391974896693078</v>
      </c>
      <c r="N25" s="17">
        <v>36526</v>
      </c>
      <c r="O25" s="19">
        <v>1305.7110780083055</v>
      </c>
      <c r="P25" s="25">
        <v>14.127064536701983</v>
      </c>
    </row>
    <row r="26" spans="1:16" ht="12.75">
      <c r="A26" s="17">
        <v>31413</v>
      </c>
      <c r="B26" s="19">
        <v>316</v>
      </c>
      <c r="E26" s="23">
        <v>32416</v>
      </c>
      <c r="F26" s="22">
        <v>153.58191129606183</v>
      </c>
      <c r="G26">
        <f t="shared" si="0"/>
        <v>2.884829139871492</v>
      </c>
      <c r="I26" s="23">
        <v>33877</v>
      </c>
      <c r="J26" s="22">
        <v>172.00278494367373</v>
      </c>
      <c r="K26">
        <v>-0.5066013691506943</v>
      </c>
      <c r="N26" s="17">
        <v>36892</v>
      </c>
      <c r="O26" s="19">
        <v>1453.937514967598</v>
      </c>
      <c r="P26" s="25">
        <v>11.352162010097434</v>
      </c>
    </row>
    <row r="27" spans="1:16" ht="12.75">
      <c r="A27" s="17">
        <v>31503</v>
      </c>
      <c r="B27" s="19">
        <v>321</v>
      </c>
      <c r="E27" s="23">
        <v>32447</v>
      </c>
      <c r="F27" s="22">
        <v>156.88254164010897</v>
      </c>
      <c r="G27">
        <f t="shared" si="0"/>
        <v>2.149100969113782</v>
      </c>
      <c r="I27" s="21">
        <v>33969</v>
      </c>
      <c r="J27" s="22">
        <v>173.61442519599598</v>
      </c>
      <c r="K27">
        <v>0.9369849754758519</v>
      </c>
      <c r="N27" s="17">
        <v>37257</v>
      </c>
      <c r="O27" s="19">
        <v>1570.8166230533204</v>
      </c>
      <c r="P27" s="25">
        <v>8.038798564759997</v>
      </c>
    </row>
    <row r="28" spans="1:16" ht="12.75">
      <c r="A28" s="17">
        <v>31594</v>
      </c>
      <c r="B28" s="19">
        <v>328</v>
      </c>
      <c r="E28" s="23">
        <v>32477</v>
      </c>
      <c r="F28" s="22">
        <v>161.43508877168307</v>
      </c>
      <c r="G28">
        <f t="shared" si="0"/>
        <v>2.9018825702210593</v>
      </c>
      <c r="I28" s="23">
        <v>34059</v>
      </c>
      <c r="J28" s="22">
        <v>172.12739156105127</v>
      </c>
      <c r="K28">
        <v>-0.8565150236024333</v>
      </c>
      <c r="N28" s="17">
        <v>37622</v>
      </c>
      <c r="O28" s="19">
        <v>1767.8067856478676</v>
      </c>
      <c r="P28" s="25">
        <v>12.540621209600001</v>
      </c>
    </row>
    <row r="29" spans="1:16" ht="12.75">
      <c r="A29" s="17">
        <v>31686</v>
      </c>
      <c r="B29" s="19">
        <v>337</v>
      </c>
      <c r="E29" s="21">
        <v>32508</v>
      </c>
      <c r="F29" s="22">
        <v>163.86549908488223</v>
      </c>
      <c r="G29">
        <f t="shared" si="0"/>
        <v>1.5055031292710241</v>
      </c>
      <c r="I29" s="21">
        <v>34150</v>
      </c>
      <c r="J29" s="22">
        <v>179.6866105222515</v>
      </c>
      <c r="K29">
        <v>4.39164208127738</v>
      </c>
      <c r="N29" s="17">
        <v>37987</v>
      </c>
      <c r="O29" s="19">
        <v>1961.7051174302562</v>
      </c>
      <c r="P29" s="25">
        <v>10.968298874999993</v>
      </c>
    </row>
    <row r="30" spans="1:16" ht="12.75">
      <c r="A30" s="17">
        <v>31778</v>
      </c>
      <c r="B30" s="19">
        <v>349</v>
      </c>
      <c r="E30" s="23">
        <v>32539</v>
      </c>
      <c r="F30" s="22">
        <v>167.24353737931204</v>
      </c>
      <c r="G30">
        <f t="shared" si="0"/>
        <v>2.061470116220132</v>
      </c>
      <c r="I30" s="23">
        <v>34242</v>
      </c>
      <c r="J30" s="22">
        <v>189.6046364246829</v>
      </c>
      <c r="K30">
        <v>5.519624346858709</v>
      </c>
      <c r="N30" s="17">
        <v>38353</v>
      </c>
      <c r="O30" s="19" t="e">
        <f>(1.057)*#REF!</f>
        <v>#REF!</v>
      </c>
      <c r="P30" s="25">
        <v>20.586696891298928</v>
      </c>
    </row>
    <row r="31" spans="1:16" ht="12.75">
      <c r="A31" s="17">
        <v>31868</v>
      </c>
      <c r="B31" s="19">
        <v>358</v>
      </c>
      <c r="C31">
        <f>(B31/B30-1)*100</f>
        <v>2.5787965616045794</v>
      </c>
      <c r="E31" s="23">
        <v>32567</v>
      </c>
      <c r="F31" s="22">
        <v>170.69011234313228</v>
      </c>
      <c r="G31">
        <f t="shared" si="0"/>
        <v>2.0608120456118595</v>
      </c>
      <c r="I31" s="21">
        <v>34334</v>
      </c>
      <c r="J31" s="22">
        <v>209.6772963274362</v>
      </c>
      <c r="K31">
        <v>10.586587058870167</v>
      </c>
      <c r="N31" s="17">
        <v>38718</v>
      </c>
      <c r="O31" s="19" t="e">
        <f>(1.056)*#REF!</f>
        <v>#REF!</v>
      </c>
      <c r="P31" s="25">
        <v>20.03802947840001</v>
      </c>
    </row>
    <row r="32" spans="1:11" ht="12.75">
      <c r="A32" s="17">
        <v>31959</v>
      </c>
      <c r="B32" s="19">
        <v>374</v>
      </c>
      <c r="C32">
        <f aca="true" t="shared" si="1" ref="C32:C95">(B32/B31-1)*100</f>
        <v>4.469273743016755</v>
      </c>
      <c r="E32" s="23">
        <v>32598</v>
      </c>
      <c r="F32" s="22">
        <v>173.2818458705317</v>
      </c>
      <c r="G32">
        <f t="shared" si="0"/>
        <v>1.5183852724810043</v>
      </c>
      <c r="I32" s="23">
        <v>34424</v>
      </c>
      <c r="J32" s="22">
        <v>224.761680684351</v>
      </c>
      <c r="K32">
        <v>7.194095222097263</v>
      </c>
    </row>
    <row r="33" spans="1:11" ht="12.75">
      <c r="A33" s="17">
        <v>32051</v>
      </c>
      <c r="B33" s="19">
        <v>392</v>
      </c>
      <c r="C33">
        <f t="shared" si="1"/>
        <v>4.8128342245989275</v>
      </c>
      <c r="E33" s="23">
        <v>32628</v>
      </c>
      <c r="F33" s="22">
        <v>176.93982424490414</v>
      </c>
      <c r="G33">
        <f t="shared" si="0"/>
        <v>2.110999196710739</v>
      </c>
      <c r="I33" s="21">
        <v>34515</v>
      </c>
      <c r="J33" s="22">
        <v>232.01942107266134</v>
      </c>
      <c r="K33">
        <v>3.229082629304103</v>
      </c>
    </row>
    <row r="34" spans="1:11" ht="12.75">
      <c r="A34" s="17">
        <v>32143</v>
      </c>
      <c r="B34" s="19">
        <v>413</v>
      </c>
      <c r="C34">
        <f t="shared" si="1"/>
        <v>5.35714285714286</v>
      </c>
      <c r="E34" s="23">
        <v>32659</v>
      </c>
      <c r="F34" s="22">
        <v>179.83348538487758</v>
      </c>
      <c r="G34">
        <f t="shared" si="0"/>
        <v>1.6353927965748971</v>
      </c>
      <c r="I34" s="23">
        <v>34607</v>
      </c>
      <c r="J34" s="22">
        <v>234.24459689032528</v>
      </c>
      <c r="K34">
        <v>0.9590472243127701</v>
      </c>
    </row>
    <row r="35" spans="1:11" ht="12.75">
      <c r="A35" s="17">
        <v>32234</v>
      </c>
      <c r="B35" s="19">
        <v>442</v>
      </c>
      <c r="C35">
        <f t="shared" si="1"/>
        <v>7.021791767554486</v>
      </c>
      <c r="E35" s="21">
        <v>32689</v>
      </c>
      <c r="F35" s="22">
        <v>182.30246784207762</v>
      </c>
      <c r="G35">
        <f t="shared" si="0"/>
        <v>1.3729269896070484</v>
      </c>
      <c r="I35" s="21">
        <v>34699</v>
      </c>
      <c r="J35" s="22">
        <v>236.4140703652065</v>
      </c>
      <c r="K35">
        <v>0.9261573174714322</v>
      </c>
    </row>
    <row r="36" spans="1:11" ht="12.75">
      <c r="A36" s="17">
        <v>32325</v>
      </c>
      <c r="B36" s="19">
        <v>470</v>
      </c>
      <c r="C36">
        <f t="shared" si="1"/>
        <v>6.334841628959276</v>
      </c>
      <c r="E36" s="23">
        <v>32720</v>
      </c>
      <c r="F36" s="22">
        <v>186.01661740607136</v>
      </c>
      <c r="G36">
        <f t="shared" si="0"/>
        <v>2.0373556145225624</v>
      </c>
      <c r="I36" s="23">
        <v>34789</v>
      </c>
      <c r="J36" s="22">
        <v>237.6108174185196</v>
      </c>
      <c r="K36">
        <v>0.5062080490659371</v>
      </c>
    </row>
    <row r="37" spans="1:11" ht="12.75">
      <c r="A37" s="17">
        <v>32417</v>
      </c>
      <c r="B37" s="19">
        <v>496</v>
      </c>
      <c r="C37">
        <f t="shared" si="1"/>
        <v>5.531914893617018</v>
      </c>
      <c r="E37" s="23">
        <v>32751</v>
      </c>
      <c r="F37" s="22">
        <v>188.96131716826676</v>
      </c>
      <c r="G37">
        <f t="shared" si="0"/>
        <v>1.5830304858017952</v>
      </c>
      <c r="I37" s="21">
        <v>34880</v>
      </c>
      <c r="J37" s="22">
        <v>238.70802845373856</v>
      </c>
      <c r="K37">
        <v>0.4617681329240009</v>
      </c>
    </row>
    <row r="38" spans="1:11" ht="12.75">
      <c r="A38" s="17">
        <v>32509</v>
      </c>
      <c r="B38" s="19">
        <v>537</v>
      </c>
      <c r="C38">
        <f t="shared" si="1"/>
        <v>8.266129032258075</v>
      </c>
      <c r="E38" s="23">
        <v>32781</v>
      </c>
      <c r="F38" s="22">
        <v>191.2566454786745</v>
      </c>
      <c r="G38">
        <f t="shared" si="0"/>
        <v>1.2147080390870535</v>
      </c>
      <c r="I38" s="23">
        <v>34972</v>
      </c>
      <c r="J38" s="22">
        <v>236.99401694720117</v>
      </c>
      <c r="K38">
        <v>-0.7180368074086618</v>
      </c>
    </row>
    <row r="39" spans="1:11" ht="12.75">
      <c r="A39" s="17">
        <v>32599</v>
      </c>
      <c r="B39" s="19">
        <v>575</v>
      </c>
      <c r="C39">
        <f t="shared" si="1"/>
        <v>7.076350093109873</v>
      </c>
      <c r="E39" s="23">
        <v>32812</v>
      </c>
      <c r="F39" s="22">
        <v>190.86416364107984</v>
      </c>
      <c r="G39">
        <f t="shared" si="0"/>
        <v>-0.2052121308581789</v>
      </c>
      <c r="I39" s="21">
        <v>35064</v>
      </c>
      <c r="J39" s="22">
        <v>238.98477693751104</v>
      </c>
      <c r="K39">
        <v>0.8400043241401312</v>
      </c>
    </row>
    <row r="40" spans="1:11" ht="12.75">
      <c r="A40" s="17">
        <v>32690</v>
      </c>
      <c r="B40" s="19">
        <v>602</v>
      </c>
      <c r="C40">
        <f t="shared" si="1"/>
        <v>4.695652173913034</v>
      </c>
      <c r="E40" s="23">
        <v>32842</v>
      </c>
      <c r="F40" s="22">
        <v>189.00968470941925</v>
      </c>
      <c r="G40">
        <f t="shared" si="0"/>
        <v>-0.9716223812176406</v>
      </c>
      <c r="I40" s="23">
        <v>35155</v>
      </c>
      <c r="J40" s="22">
        <v>243.79546642333912</v>
      </c>
      <c r="K40">
        <v>2.0129690047521187</v>
      </c>
    </row>
    <row r="41" spans="1:11" ht="12.75">
      <c r="A41" s="17">
        <v>32782</v>
      </c>
      <c r="B41" s="19">
        <v>627</v>
      </c>
      <c r="C41">
        <f t="shared" si="1"/>
        <v>4.152823920265791</v>
      </c>
      <c r="E41" s="21">
        <v>32873</v>
      </c>
      <c r="F41" s="22">
        <v>189.11699420124282</v>
      </c>
      <c r="G41">
        <f t="shared" si="0"/>
        <v>0.0567745996659097</v>
      </c>
      <c r="I41" s="21">
        <v>35246</v>
      </c>
      <c r="J41" s="22">
        <v>248.8230820224863</v>
      </c>
      <c r="K41">
        <v>2.062226862913419</v>
      </c>
    </row>
    <row r="42" spans="1:11" ht="12.75">
      <c r="A42" s="17">
        <v>32874</v>
      </c>
      <c r="B42" s="19">
        <v>640</v>
      </c>
      <c r="C42">
        <f t="shared" si="1"/>
        <v>2.0733652312599604</v>
      </c>
      <c r="E42" s="23">
        <v>32904</v>
      </c>
      <c r="F42" s="22">
        <v>188.98862453756425</v>
      </c>
      <c r="G42">
        <f t="shared" si="0"/>
        <v>-0.06787843906929103</v>
      </c>
      <c r="I42" s="23">
        <v>35338</v>
      </c>
      <c r="J42" s="22">
        <v>254.29561342055607</v>
      </c>
      <c r="K42">
        <v>2.199366454907592</v>
      </c>
    </row>
    <row r="43" spans="1:11" ht="12.75">
      <c r="A43" s="17">
        <v>32964</v>
      </c>
      <c r="B43" s="19">
        <v>646</v>
      </c>
      <c r="C43">
        <f t="shared" si="1"/>
        <v>0.9374999999999911</v>
      </c>
      <c r="E43" s="23">
        <v>32932</v>
      </c>
      <c r="F43" s="22">
        <v>189.70438407373277</v>
      </c>
      <c r="G43">
        <f t="shared" si="0"/>
        <v>0.3787315442502992</v>
      </c>
      <c r="I43" s="21">
        <v>35430</v>
      </c>
      <c r="J43" s="22">
        <v>261.2526755344315</v>
      </c>
      <c r="K43">
        <v>2.7358168000994</v>
      </c>
    </row>
    <row r="44" spans="1:11" ht="12.75">
      <c r="A44" s="17">
        <v>33055</v>
      </c>
      <c r="B44" s="19">
        <v>637</v>
      </c>
      <c r="C44">
        <f t="shared" si="1"/>
        <v>-1.393188854489169</v>
      </c>
      <c r="E44" s="23">
        <v>32963</v>
      </c>
      <c r="F44" s="22">
        <v>187.50469255397212</v>
      </c>
      <c r="G44">
        <f t="shared" si="0"/>
        <v>-1.1595364706519895</v>
      </c>
      <c r="I44" s="23">
        <v>35520</v>
      </c>
      <c r="J44" s="22">
        <v>269.9284455695938</v>
      </c>
      <c r="K44">
        <v>3.3208349033803097</v>
      </c>
    </row>
    <row r="45" spans="1:11" ht="12.75">
      <c r="A45" s="17">
        <v>33147</v>
      </c>
      <c r="B45" s="19">
        <v>629</v>
      </c>
      <c r="C45">
        <f t="shared" si="1"/>
        <v>-1.2558869701726816</v>
      </c>
      <c r="E45" s="23">
        <v>32993</v>
      </c>
      <c r="F45" s="22">
        <v>186.97177126977505</v>
      </c>
      <c r="G45">
        <f t="shared" si="0"/>
        <v>-0.28421757180486784</v>
      </c>
      <c r="I45" s="21">
        <v>35611</v>
      </c>
      <c r="J45" s="22">
        <v>278.6969343889903</v>
      </c>
      <c r="K45">
        <v>3.2484493440080087</v>
      </c>
    </row>
    <row r="46" spans="1:11" ht="12.75">
      <c r="A46" s="17">
        <v>33239</v>
      </c>
      <c r="B46" s="19">
        <v>605</v>
      </c>
      <c r="C46">
        <f t="shared" si="1"/>
        <v>-3.8155802861685184</v>
      </c>
      <c r="E46" s="23">
        <v>33024</v>
      </c>
      <c r="F46" s="22">
        <v>185.34737237444875</v>
      </c>
      <c r="G46">
        <f t="shared" si="0"/>
        <v>-0.8687936602913782</v>
      </c>
      <c r="I46" s="23">
        <v>35703</v>
      </c>
      <c r="J46" s="22">
        <v>287.8752075551348</v>
      </c>
      <c r="K46">
        <v>3.2932809922243234</v>
      </c>
    </row>
    <row r="47" spans="1:11" ht="12.75">
      <c r="A47" s="17">
        <v>33329</v>
      </c>
      <c r="B47" s="19">
        <v>603</v>
      </c>
      <c r="C47">
        <f t="shared" si="1"/>
        <v>-0.33057851239669533</v>
      </c>
      <c r="E47" s="21">
        <v>33054</v>
      </c>
      <c r="F47" s="22">
        <v>183.18563179990736</v>
      </c>
      <c r="G47">
        <f t="shared" si="0"/>
        <v>-1.1663184359442247</v>
      </c>
      <c r="I47" s="21">
        <v>35795</v>
      </c>
      <c r="J47" s="22">
        <v>300.95433142823157</v>
      </c>
      <c r="K47">
        <v>4.543331113566573</v>
      </c>
    </row>
    <row r="48" spans="1:11" ht="12.75">
      <c r="A48" s="17">
        <v>33420</v>
      </c>
      <c r="B48" s="19">
        <v>599</v>
      </c>
      <c r="C48">
        <f t="shared" si="1"/>
        <v>-0.6633499170812573</v>
      </c>
      <c r="E48" s="23">
        <v>33085</v>
      </c>
      <c r="F48" s="22">
        <v>180.28420379697673</v>
      </c>
      <c r="G48">
        <f t="shared" si="0"/>
        <v>-1.5838731315455101</v>
      </c>
      <c r="I48" s="23">
        <v>35885</v>
      </c>
      <c r="J48" s="22">
        <v>309.7411490021088</v>
      </c>
      <c r="K48">
        <v>2.9196514740883917</v>
      </c>
    </row>
    <row r="49" spans="1:11" ht="12.75">
      <c r="A49" s="17">
        <v>33512</v>
      </c>
      <c r="B49" s="19">
        <v>589.99</v>
      </c>
      <c r="C49">
        <f t="shared" si="1"/>
        <v>-1.5041736227045077</v>
      </c>
      <c r="E49" s="23">
        <v>33116</v>
      </c>
      <c r="F49" s="22">
        <v>178.57580598110985</v>
      </c>
      <c r="G49">
        <f t="shared" si="0"/>
        <v>-0.9476137009711394</v>
      </c>
      <c r="I49" s="21">
        <v>35976</v>
      </c>
      <c r="J49" s="22">
        <v>321.9560712793662</v>
      </c>
      <c r="K49">
        <v>3.9435904194874194</v>
      </c>
    </row>
    <row r="50" spans="1:11" ht="12.75">
      <c r="A50" s="17">
        <v>33604</v>
      </c>
      <c r="B50" s="19">
        <v>589.57</v>
      </c>
      <c r="C50">
        <f t="shared" si="1"/>
        <v>-0.07118764724824977</v>
      </c>
      <c r="E50" s="23">
        <v>33146</v>
      </c>
      <c r="F50" s="22">
        <v>174.38435735583516</v>
      </c>
      <c r="G50">
        <f t="shared" si="0"/>
        <v>-2.3471536932153425</v>
      </c>
      <c r="I50" s="23">
        <v>36068</v>
      </c>
      <c r="J50" s="22">
        <v>330.33547357903797</v>
      </c>
      <c r="K50">
        <v>2.6026539168447105</v>
      </c>
    </row>
    <row r="51" spans="1:11" ht="12.75">
      <c r="A51" s="17">
        <v>33695</v>
      </c>
      <c r="B51" s="19">
        <v>585.89</v>
      </c>
      <c r="C51">
        <f t="shared" si="1"/>
        <v>-0.6241837271231732</v>
      </c>
      <c r="E51" s="23">
        <v>33177</v>
      </c>
      <c r="F51" s="22">
        <v>173.52731569983044</v>
      </c>
      <c r="G51">
        <f t="shared" si="0"/>
        <v>-0.4914670495679285</v>
      </c>
      <c r="I51" s="21">
        <v>36160</v>
      </c>
      <c r="J51" s="22">
        <v>335.7016087319904</v>
      </c>
      <c r="K51">
        <v>1.624450167223257</v>
      </c>
    </row>
    <row r="52" spans="1:11" ht="12.75">
      <c r="A52" s="17">
        <v>33786</v>
      </c>
      <c r="B52" s="19">
        <v>585.2</v>
      </c>
      <c r="C52">
        <f t="shared" si="1"/>
        <v>-0.11776954718460964</v>
      </c>
      <c r="E52" s="23">
        <v>33207</v>
      </c>
      <c r="F52" s="22">
        <v>172.83929115544987</v>
      </c>
      <c r="G52">
        <f t="shared" si="0"/>
        <v>-0.39649350974271247</v>
      </c>
      <c r="I52" s="23">
        <v>36250</v>
      </c>
      <c r="J52" s="22">
        <v>342.86170409399097</v>
      </c>
      <c r="K52">
        <v>2.132874903115778</v>
      </c>
    </row>
    <row r="53" spans="1:11" ht="12.75">
      <c r="A53" s="17">
        <v>33878</v>
      </c>
      <c r="B53" s="19">
        <v>569.99</v>
      </c>
      <c r="C53">
        <f t="shared" si="1"/>
        <v>-2.59911141490089</v>
      </c>
      <c r="E53" s="21">
        <v>33238</v>
      </c>
      <c r="F53" s="22">
        <v>173.00499453211265</v>
      </c>
      <c r="G53">
        <f t="shared" si="0"/>
        <v>0.09587135862165752</v>
      </c>
      <c r="I53" s="21">
        <v>36341</v>
      </c>
      <c r="J53" s="22">
        <v>355.792270767234</v>
      </c>
      <c r="K53">
        <v>3.7713651069348764</v>
      </c>
    </row>
    <row r="54" spans="1:11" ht="12.75">
      <c r="A54" s="17">
        <v>33970</v>
      </c>
      <c r="B54" s="19">
        <v>566.5</v>
      </c>
      <c r="C54">
        <f t="shared" si="1"/>
        <v>-0.612291443709545</v>
      </c>
      <c r="E54" s="23">
        <v>33269</v>
      </c>
      <c r="F54" s="22">
        <v>170.3105394642535</v>
      </c>
      <c r="G54">
        <f t="shared" si="0"/>
        <v>-1.5574435149379506</v>
      </c>
      <c r="I54" s="23">
        <v>36433</v>
      </c>
      <c r="J54" s="22">
        <v>367.2066617344263</v>
      </c>
      <c r="K54">
        <v>3.208161588945746</v>
      </c>
    </row>
    <row r="55" spans="1:11" ht="12.75">
      <c r="A55" s="17">
        <v>34060</v>
      </c>
      <c r="B55" s="19">
        <v>575.32</v>
      </c>
      <c r="C55">
        <f t="shared" si="1"/>
        <v>1.556928508384825</v>
      </c>
      <c r="E55" s="23">
        <v>33297</v>
      </c>
      <c r="F55" s="22">
        <v>168.22092926858096</v>
      </c>
      <c r="G55">
        <f t="shared" si="0"/>
        <v>-1.2269412111815536</v>
      </c>
      <c r="I55" s="21">
        <v>36525</v>
      </c>
      <c r="J55" s="22">
        <v>380.8649619060261</v>
      </c>
      <c r="K55">
        <v>3.71951317742647</v>
      </c>
    </row>
    <row r="56" spans="1:11" ht="12.75">
      <c r="A56" s="17">
        <v>34151</v>
      </c>
      <c r="B56" s="19">
        <v>591.37</v>
      </c>
      <c r="C56">
        <f t="shared" si="1"/>
        <v>2.789751790308004</v>
      </c>
      <c r="E56" s="23">
        <v>33328</v>
      </c>
      <c r="F56" s="22">
        <v>167.52935127027115</v>
      </c>
      <c r="G56">
        <f t="shared" si="0"/>
        <v>-0.4111129342328379</v>
      </c>
      <c r="I56" s="23">
        <v>36616</v>
      </c>
      <c r="J56" s="22">
        <v>391.4387300550186</v>
      </c>
      <c r="K56">
        <v>2.776251219349879</v>
      </c>
    </row>
    <row r="57" spans="1:11" ht="12.75">
      <c r="A57" s="17">
        <v>34243</v>
      </c>
      <c r="B57" s="19">
        <v>614.87</v>
      </c>
      <c r="C57">
        <f t="shared" si="1"/>
        <v>3.973823494597295</v>
      </c>
      <c r="E57" s="23">
        <v>33358</v>
      </c>
      <c r="F57" s="22">
        <v>167.87603861693736</v>
      </c>
      <c r="G57">
        <f t="shared" si="0"/>
        <v>0.2069412577781149</v>
      </c>
      <c r="I57" s="21">
        <v>36707</v>
      </c>
      <c r="J57" s="22">
        <v>401.3492399330116</v>
      </c>
      <c r="K57">
        <v>2.5318163781596237</v>
      </c>
    </row>
    <row r="58" spans="1:11" ht="12.75">
      <c r="A58" s="17">
        <v>34335</v>
      </c>
      <c r="B58" s="19">
        <v>681.03</v>
      </c>
      <c r="C58">
        <f t="shared" si="1"/>
        <v>10.759998048367937</v>
      </c>
      <c r="E58" s="23">
        <v>33389</v>
      </c>
      <c r="F58" s="22">
        <v>167.51729806527456</v>
      </c>
      <c r="G58">
        <f t="shared" si="0"/>
        <v>-0.21369371985324737</v>
      </c>
      <c r="I58" s="23">
        <v>36799</v>
      </c>
      <c r="J58" s="22">
        <v>407.9971569085242</v>
      </c>
      <c r="K58">
        <v>1.6563920680707334</v>
      </c>
    </row>
    <row r="59" spans="1:11" ht="12.75">
      <c r="A59" s="17">
        <v>34425</v>
      </c>
      <c r="B59" s="19">
        <v>722.52</v>
      </c>
      <c r="C59">
        <f t="shared" si="1"/>
        <v>6.092242632483158</v>
      </c>
      <c r="E59" s="21">
        <v>33419</v>
      </c>
      <c r="F59" s="22">
        <v>168.07809407471527</v>
      </c>
      <c r="G59">
        <f t="shared" si="0"/>
        <v>0.33476901544948756</v>
      </c>
      <c r="I59" s="21">
        <v>36891</v>
      </c>
      <c r="J59" s="22">
        <v>411.59749577051474</v>
      </c>
      <c r="K59">
        <v>0.8824421447617636</v>
      </c>
    </row>
    <row r="60" spans="1:11" ht="12.75">
      <c r="A60" s="17">
        <v>34516</v>
      </c>
      <c r="B60" s="19">
        <v>749.8081219695501</v>
      </c>
      <c r="C60">
        <f t="shared" si="1"/>
        <v>3.776798146701843</v>
      </c>
      <c r="E60" s="23">
        <v>33450</v>
      </c>
      <c r="F60" s="22">
        <v>168.00021116040566</v>
      </c>
      <c r="G60">
        <f t="shared" si="0"/>
        <v>-0.04633733785378569</v>
      </c>
      <c r="I60" s="23">
        <v>36981</v>
      </c>
      <c r="J60" s="22">
        <v>415.2030858103352</v>
      </c>
      <c r="K60">
        <v>0.8759990225574166</v>
      </c>
    </row>
    <row r="61" spans="1:11" ht="12.75">
      <c r="A61" s="17">
        <v>34608</v>
      </c>
      <c r="B61" s="19">
        <v>764.47</v>
      </c>
      <c r="C61">
        <f t="shared" si="1"/>
        <v>1.9554173395637475</v>
      </c>
      <c r="E61" s="23">
        <v>33481</v>
      </c>
      <c r="F61" s="22">
        <v>168.129515498841</v>
      </c>
      <c r="G61">
        <f t="shared" si="0"/>
        <v>0.07696677137618568</v>
      </c>
      <c r="I61" s="21">
        <v>37072</v>
      </c>
      <c r="J61" s="22">
        <v>422.1211243899403</v>
      </c>
      <c r="K61">
        <v>1.6661818796706251</v>
      </c>
    </row>
    <row r="62" spans="1:11" ht="12.75">
      <c r="A62" s="17">
        <v>34700</v>
      </c>
      <c r="B62" s="19">
        <v>778.04</v>
      </c>
      <c r="C62">
        <f t="shared" si="1"/>
        <v>1.7750860072991648</v>
      </c>
      <c r="E62" s="23">
        <v>33511</v>
      </c>
      <c r="F62" s="22">
        <v>168.3088489839837</v>
      </c>
      <c r="G62">
        <f t="shared" si="0"/>
        <v>0.10666389218492167</v>
      </c>
      <c r="I62" s="23">
        <v>37164</v>
      </c>
      <c r="J62">
        <v>427.48337513576564</v>
      </c>
      <c r="K62">
        <v>1.2703109216756214</v>
      </c>
    </row>
    <row r="63" spans="1:11" ht="12.75">
      <c r="A63" s="17">
        <v>34790</v>
      </c>
      <c r="B63" s="19">
        <v>785.98</v>
      </c>
      <c r="C63">
        <f t="shared" si="1"/>
        <v>1.0205130841602017</v>
      </c>
      <c r="E63" s="23">
        <v>33542</v>
      </c>
      <c r="F63" s="22">
        <v>168.76689786578845</v>
      </c>
      <c r="G63">
        <f t="shared" si="0"/>
        <v>0.2721478309487768</v>
      </c>
      <c r="I63" s="21">
        <v>37256</v>
      </c>
      <c r="J63">
        <v>434.4367849853308</v>
      </c>
      <c r="K63">
        <v>1.6265918756154685</v>
      </c>
    </row>
    <row r="64" spans="1:11" ht="12.75">
      <c r="A64" s="17">
        <v>34881</v>
      </c>
      <c r="B64" s="19">
        <v>793.24</v>
      </c>
      <c r="C64">
        <f t="shared" si="1"/>
        <v>0.9236876256393245</v>
      </c>
      <c r="E64" s="23">
        <v>33572</v>
      </c>
      <c r="F64" s="22">
        <v>169.56338142545118</v>
      </c>
      <c r="G64">
        <f t="shared" si="0"/>
        <v>0.47194299932924455</v>
      </c>
      <c r="I64" s="23">
        <v>37346</v>
      </c>
      <c r="J64">
        <v>442.4762098753302</v>
      </c>
      <c r="K64">
        <v>1.8505396338090563</v>
      </c>
    </row>
    <row r="65" spans="1:11" ht="12.75">
      <c r="A65" s="17">
        <v>34973</v>
      </c>
      <c r="B65" s="19">
        <v>798.51</v>
      </c>
      <c r="C65">
        <f t="shared" si="1"/>
        <v>0.6643638747415581</v>
      </c>
      <c r="E65" s="21">
        <v>33603</v>
      </c>
      <c r="F65" s="22">
        <v>170.70710164799286</v>
      </c>
      <c r="G65">
        <f t="shared" si="0"/>
        <v>0.6745089729438547</v>
      </c>
      <c r="I65" s="21">
        <v>37437</v>
      </c>
      <c r="J65">
        <v>453.30553250949623</v>
      </c>
      <c r="K65">
        <v>2.4474361315871107</v>
      </c>
    </row>
    <row r="66" spans="1:11" ht="12.75">
      <c r="A66" s="17">
        <v>35065</v>
      </c>
      <c r="B66" s="19">
        <v>805.86</v>
      </c>
      <c r="C66">
        <f t="shared" si="1"/>
        <v>0.9204643648795807</v>
      </c>
      <c r="E66" s="23">
        <v>33634</v>
      </c>
      <c r="F66" s="22">
        <v>170.79883337468408</v>
      </c>
      <c r="G66">
        <f t="shared" si="0"/>
        <v>0.053736327197673184</v>
      </c>
      <c r="I66" s="23">
        <v>37529</v>
      </c>
      <c r="J66">
        <v>466.53182439613806</v>
      </c>
      <c r="K66">
        <v>2.9177433183798174</v>
      </c>
    </row>
    <row r="67" spans="1:11" ht="12.75">
      <c r="A67" s="17">
        <v>35156</v>
      </c>
      <c r="B67" s="19">
        <v>818.23</v>
      </c>
      <c r="C67">
        <f t="shared" si="1"/>
        <v>1.5350060804606214</v>
      </c>
      <c r="E67" s="23">
        <v>33663</v>
      </c>
      <c r="F67" s="22">
        <v>170.98418749426963</v>
      </c>
      <c r="G67">
        <f t="shared" si="0"/>
        <v>0.10852188854180156</v>
      </c>
      <c r="I67" s="21">
        <v>37621</v>
      </c>
      <c r="J67">
        <v>477.27556019596517</v>
      </c>
      <c r="K67">
        <v>2.3028945160886716</v>
      </c>
    </row>
    <row r="68" spans="1:11" ht="12.75">
      <c r="A68" s="17">
        <v>35247</v>
      </c>
      <c r="B68" s="19">
        <v>834.51</v>
      </c>
      <c r="C68">
        <f t="shared" si="1"/>
        <v>1.9896606088752433</v>
      </c>
      <c r="E68" s="23">
        <v>33694</v>
      </c>
      <c r="F68" s="22">
        <v>172.71637546258353</v>
      </c>
      <c r="G68">
        <f t="shared" si="0"/>
        <v>1.013069099370334</v>
      </c>
      <c r="I68" s="23">
        <v>37711</v>
      </c>
      <c r="J68">
        <v>485.85826691210764</v>
      </c>
      <c r="K68">
        <v>1.798270733288443</v>
      </c>
    </row>
    <row r="69" spans="1:11" ht="12.75">
      <c r="A69" s="17">
        <v>35339</v>
      </c>
      <c r="B69" s="19">
        <v>853.41</v>
      </c>
      <c r="C69">
        <f t="shared" si="1"/>
        <v>2.2648020994356033</v>
      </c>
      <c r="E69" s="23">
        <v>33724</v>
      </c>
      <c r="F69" s="22">
        <v>172.86915138492972</v>
      </c>
      <c r="G69">
        <f t="shared" si="0"/>
        <v>0.08845479876300466</v>
      </c>
      <c r="I69" s="21">
        <v>37802</v>
      </c>
      <c r="J69">
        <v>498.3499897622454</v>
      </c>
      <c r="K69">
        <v>2.5710631475984513</v>
      </c>
    </row>
    <row r="70" spans="1:11" ht="12.75">
      <c r="A70" s="17">
        <v>35431</v>
      </c>
      <c r="B70" s="19">
        <v>871</v>
      </c>
      <c r="C70">
        <f t="shared" si="1"/>
        <v>2.061142944188621</v>
      </c>
      <c r="E70" s="23">
        <v>33755</v>
      </c>
      <c r="F70" s="22">
        <v>173.40985799605997</v>
      </c>
      <c r="G70">
        <f t="shared" si="0"/>
        <v>0.31278374816929855</v>
      </c>
      <c r="I70" s="23">
        <v>37894</v>
      </c>
      <c r="J70">
        <v>512.7731733280286</v>
      </c>
      <c r="K70">
        <v>2.8941875914684667</v>
      </c>
    </row>
    <row r="71" spans="1:11" ht="12.75">
      <c r="A71" s="17">
        <v>35521</v>
      </c>
      <c r="B71" s="19">
        <v>897.8423818532564</v>
      </c>
      <c r="C71">
        <f t="shared" si="1"/>
        <v>3.081788961338283</v>
      </c>
      <c r="E71" s="21">
        <v>33785</v>
      </c>
      <c r="F71" s="22">
        <v>172.87859024884278</v>
      </c>
      <c r="G71">
        <f aca="true" t="shared" si="2" ref="G71:G134">(F71/F70-1)*100</f>
        <v>-0.3063653666271149</v>
      </c>
      <c r="I71" s="23">
        <v>37986</v>
      </c>
      <c r="J71">
        <v>531.5672332746597</v>
      </c>
      <c r="K71">
        <v>3.6651800297298642</v>
      </c>
    </row>
    <row r="72" spans="1:11" ht="12.75">
      <c r="A72" s="17">
        <v>35612</v>
      </c>
      <c r="B72" s="19">
        <v>934</v>
      </c>
      <c r="C72">
        <f t="shared" si="1"/>
        <v>4.027167671914733</v>
      </c>
      <c r="E72" s="23">
        <v>33816</v>
      </c>
      <c r="F72" s="22">
        <v>173.55304238536567</v>
      </c>
      <c r="G72">
        <f t="shared" si="2"/>
        <v>0.39013051619178896</v>
      </c>
      <c r="I72" s="23">
        <v>38077</v>
      </c>
      <c r="J72">
        <v>554.1417769060905</v>
      </c>
      <c r="K72">
        <v>4.24678991072549</v>
      </c>
    </row>
    <row r="73" spans="1:11" ht="12.75">
      <c r="A73" s="17">
        <v>35704</v>
      </c>
      <c r="B73" s="19">
        <v>969.39</v>
      </c>
      <c r="C73">
        <f t="shared" si="1"/>
        <v>3.789079229122061</v>
      </c>
      <c r="E73" s="23">
        <v>33847</v>
      </c>
      <c r="F73" s="22">
        <v>173.38778341268318</v>
      </c>
      <c r="G73">
        <f t="shared" si="2"/>
        <v>-0.09522101739682931</v>
      </c>
      <c r="I73" s="23">
        <v>38168</v>
      </c>
      <c r="J73">
        <v>582.2422896170979</v>
      </c>
      <c r="K73">
        <v>5.070996969024688</v>
      </c>
    </row>
    <row r="74" spans="1:11" ht="12.75">
      <c r="A74" s="17">
        <v>35796</v>
      </c>
      <c r="B74" s="19">
        <v>1021.8</v>
      </c>
      <c r="C74">
        <f t="shared" si="1"/>
        <v>5.406492742858915</v>
      </c>
      <c r="E74" s="23">
        <v>33877</v>
      </c>
      <c r="F74" s="22">
        <v>172.00278494367373</v>
      </c>
      <c r="G74">
        <f t="shared" si="2"/>
        <v>-0.7987866513715081</v>
      </c>
      <c r="I74" s="21">
        <v>38260</v>
      </c>
      <c r="J74">
        <v>607.5594450692369</v>
      </c>
      <c r="K74">
        <v>4.348216524908977</v>
      </c>
    </row>
    <row r="75" spans="1:11" ht="12.75">
      <c r="A75" s="17">
        <v>35886</v>
      </c>
      <c r="B75" s="19">
        <v>1058.8211780672693</v>
      </c>
      <c r="C75">
        <f t="shared" si="1"/>
        <v>3.6231334965031614</v>
      </c>
      <c r="E75" s="23">
        <v>33908</v>
      </c>
      <c r="F75" s="22">
        <v>172.48858821121013</v>
      </c>
      <c r="G75">
        <f t="shared" si="2"/>
        <v>0.28243918707215876</v>
      </c>
      <c r="I75" s="21">
        <v>38352</v>
      </c>
      <c r="J75">
        <v>634.5892047930039</v>
      </c>
      <c r="K75">
        <v>4.4489078300291585</v>
      </c>
    </row>
    <row r="76" spans="1:7" ht="12.75">
      <c r="A76" s="17">
        <v>35977</v>
      </c>
      <c r="B76" s="19">
        <v>1133.2415089687522</v>
      </c>
      <c r="C76">
        <f t="shared" si="1"/>
        <v>7.028602415879792</v>
      </c>
      <c r="E76" s="23">
        <v>33938</v>
      </c>
      <c r="F76" s="22">
        <v>172.65265631379074</v>
      </c>
      <c r="G76">
        <f t="shared" si="2"/>
        <v>0.09511823610017789</v>
      </c>
    </row>
    <row r="77" spans="1:7" ht="12.75">
      <c r="A77" s="17">
        <v>36069</v>
      </c>
      <c r="B77" s="19">
        <v>1125.1867470581892</v>
      </c>
      <c r="C77">
        <f t="shared" si="1"/>
        <v>-0.7107718740282265</v>
      </c>
      <c r="E77" s="21">
        <v>33969</v>
      </c>
      <c r="F77" s="22">
        <v>173.61442519599598</v>
      </c>
      <c r="G77">
        <f t="shared" si="2"/>
        <v>0.5570542050955973</v>
      </c>
    </row>
    <row r="78" spans="1:7" ht="12.75">
      <c r="A78" s="17">
        <v>36161</v>
      </c>
      <c r="B78" s="19">
        <v>1144.0853957900613</v>
      </c>
      <c r="C78">
        <f t="shared" si="1"/>
        <v>1.6796010778906467</v>
      </c>
      <c r="E78" s="23">
        <v>34000</v>
      </c>
      <c r="F78" s="22">
        <v>172.4989951550135</v>
      </c>
      <c r="G78">
        <f t="shared" si="2"/>
        <v>-0.642475439309409</v>
      </c>
    </row>
    <row r="79" spans="1:7" ht="12.75">
      <c r="A79" s="17">
        <v>36251</v>
      </c>
      <c r="B79" s="19">
        <v>1173.9229519733253</v>
      </c>
      <c r="C79">
        <f t="shared" si="1"/>
        <v>2.6079833107789385</v>
      </c>
      <c r="E79" s="23">
        <v>34028</v>
      </c>
      <c r="F79" s="22">
        <v>172.27132027773283</v>
      </c>
      <c r="G79">
        <f t="shared" si="2"/>
        <v>-0.1319862049492304</v>
      </c>
    </row>
    <row r="80" spans="1:7" ht="12.75">
      <c r="A80" s="17">
        <v>36342</v>
      </c>
      <c r="B80" s="19">
        <v>1218.8251466575714</v>
      </c>
      <c r="C80">
        <f t="shared" si="1"/>
        <v>3.824969484476548</v>
      </c>
      <c r="E80" s="23">
        <v>34059</v>
      </c>
      <c r="F80" s="22">
        <v>172.12739156105127</v>
      </c>
      <c r="G80">
        <f t="shared" si="2"/>
        <v>-0.08354769467693313</v>
      </c>
    </row>
    <row r="81" spans="1:7" ht="12.75">
      <c r="A81" s="17">
        <v>36434</v>
      </c>
      <c r="B81" s="19">
        <v>1260.2898458373909</v>
      </c>
      <c r="C81">
        <f t="shared" si="1"/>
        <v>3.4020219629968818</v>
      </c>
      <c r="E81" s="23">
        <v>34089</v>
      </c>
      <c r="F81" s="22">
        <v>172.7795554207411</v>
      </c>
      <c r="G81">
        <f t="shared" si="2"/>
        <v>0.37888441448816756</v>
      </c>
    </row>
    <row r="82" spans="1:7" ht="12.75">
      <c r="A82" s="17">
        <v>36526</v>
      </c>
      <c r="B82" s="19">
        <v>1305.7110780083055</v>
      </c>
      <c r="C82">
        <f t="shared" si="1"/>
        <v>3.604030637947009</v>
      </c>
      <c r="E82" s="23">
        <v>34120</v>
      </c>
      <c r="F82" s="22">
        <v>174.1379280000482</v>
      </c>
      <c r="G82">
        <f t="shared" si="2"/>
        <v>0.7861882593685809</v>
      </c>
    </row>
    <row r="83" spans="1:7" ht="12.75">
      <c r="A83" s="17">
        <v>36617</v>
      </c>
      <c r="B83" s="19">
        <v>1343.0896541434029</v>
      </c>
      <c r="C83">
        <f t="shared" si="1"/>
        <v>2.8626988592387104</v>
      </c>
      <c r="E83" s="21">
        <v>34150</v>
      </c>
      <c r="F83" s="22">
        <v>179.6866105222515</v>
      </c>
      <c r="G83">
        <f t="shared" si="2"/>
        <v>3.186372196987297</v>
      </c>
    </row>
    <row r="84" spans="1:7" ht="12.75">
      <c r="A84" s="17">
        <v>36708</v>
      </c>
      <c r="B84" s="19">
        <v>1382.326641624049</v>
      </c>
      <c r="C84">
        <f t="shared" si="1"/>
        <v>2.9213974926841857</v>
      </c>
      <c r="E84" s="23">
        <v>34181</v>
      </c>
      <c r="F84" s="22">
        <v>183.25495959349118</v>
      </c>
      <c r="G84">
        <f t="shared" si="2"/>
        <v>1.9858736612975436</v>
      </c>
    </row>
    <row r="85" spans="1:7" ht="12.75">
      <c r="A85" s="17">
        <v>36800</v>
      </c>
      <c r="B85" s="19">
        <v>1422.6394471307221</v>
      </c>
      <c r="C85">
        <f t="shared" si="1"/>
        <v>2.916300987971332</v>
      </c>
      <c r="E85" s="23">
        <v>34212</v>
      </c>
      <c r="F85" s="22">
        <v>185.89776724535625</v>
      </c>
      <c r="G85">
        <f t="shared" si="2"/>
        <v>1.4421479548098137</v>
      </c>
    </row>
    <row r="86" spans="1:7" ht="12.75">
      <c r="A86" s="17">
        <v>36892</v>
      </c>
      <c r="B86" s="19">
        <v>1453.937514967598</v>
      </c>
      <c r="C86">
        <f t="shared" si="1"/>
        <v>2.200000000000002</v>
      </c>
      <c r="E86" s="23">
        <v>34242</v>
      </c>
      <c r="F86" s="22">
        <v>189.6046364246829</v>
      </c>
      <c r="G86">
        <f t="shared" si="2"/>
        <v>1.9940364181104675</v>
      </c>
    </row>
    <row r="87" spans="1:7" ht="12.75">
      <c r="A87" s="17">
        <v>36982</v>
      </c>
      <c r="B87" s="19">
        <v>1491.7398903567555</v>
      </c>
      <c r="C87">
        <f t="shared" si="1"/>
        <v>2.6000000000000023</v>
      </c>
      <c r="E87" s="23">
        <v>34273</v>
      </c>
      <c r="F87" s="22">
        <v>193.7944799407557</v>
      </c>
      <c r="G87">
        <f t="shared" si="2"/>
        <v>2.2097790407868745</v>
      </c>
    </row>
    <row r="88" spans="1:7" ht="12.75">
      <c r="A88" s="17">
        <v>37073</v>
      </c>
      <c r="B88" s="19">
        <v>1518.591208383177</v>
      </c>
      <c r="C88">
        <f t="shared" si="1"/>
        <v>1.8000000000000016</v>
      </c>
      <c r="E88" s="23">
        <v>34303</v>
      </c>
      <c r="F88" s="22">
        <v>202.81658622787413</v>
      </c>
      <c r="G88">
        <f t="shared" si="2"/>
        <v>4.655502205159068</v>
      </c>
    </row>
    <row r="89" spans="1:7" ht="12.75">
      <c r="A89" s="17">
        <v>37165</v>
      </c>
      <c r="B89" s="19">
        <v>1544.5591180465294</v>
      </c>
      <c r="C89">
        <f t="shared" si="1"/>
        <v>1.7100000000000115</v>
      </c>
      <c r="E89" s="21">
        <v>34334</v>
      </c>
      <c r="F89" s="22">
        <v>209.6772963274362</v>
      </c>
      <c r="G89">
        <f t="shared" si="2"/>
        <v>3.3827164864385084</v>
      </c>
    </row>
    <row r="90" spans="1:7" ht="12.75">
      <c r="A90" s="17">
        <v>37257</v>
      </c>
      <c r="B90" s="19">
        <v>1570.8166230533204</v>
      </c>
      <c r="C90">
        <f t="shared" si="1"/>
        <v>1.6999999999999904</v>
      </c>
      <c r="E90" s="23">
        <v>34365</v>
      </c>
      <c r="F90" s="22">
        <v>215.46339987190538</v>
      </c>
      <c r="G90">
        <f t="shared" si="2"/>
        <v>2.7595279249659432</v>
      </c>
    </row>
    <row r="91" spans="1:7" ht="12.75">
      <c r="A91" s="17">
        <v>37347</v>
      </c>
      <c r="B91" s="19">
        <v>1608.5162220066002</v>
      </c>
      <c r="C91">
        <f t="shared" si="1"/>
        <v>2.400000000000002</v>
      </c>
      <c r="E91" s="23">
        <v>34393</v>
      </c>
      <c r="F91" s="22">
        <v>219.69939296032567</v>
      </c>
      <c r="G91">
        <f t="shared" si="2"/>
        <v>1.9659919461674669</v>
      </c>
    </row>
    <row r="92" spans="1:7" ht="12.75">
      <c r="A92" s="17">
        <v>37438</v>
      </c>
      <c r="B92" s="19">
        <v>1674.4653871088708</v>
      </c>
      <c r="C92">
        <f t="shared" si="1"/>
        <v>4.0999999999999925</v>
      </c>
      <c r="E92" s="23">
        <v>34424</v>
      </c>
      <c r="F92" s="22">
        <v>224.761680684351</v>
      </c>
      <c r="G92">
        <f t="shared" si="2"/>
        <v>2.304188307402155</v>
      </c>
    </row>
    <row r="93" spans="1:7" ht="12.75">
      <c r="A93" s="17">
        <v>37530</v>
      </c>
      <c r="B93" s="19">
        <v>1726.3738141092458</v>
      </c>
      <c r="C93">
        <f t="shared" si="1"/>
        <v>3.0999999999999917</v>
      </c>
      <c r="E93" s="23">
        <v>34454</v>
      </c>
      <c r="F93" s="22">
        <v>228.8117310771451</v>
      </c>
      <c r="G93">
        <f t="shared" si="2"/>
        <v>1.8019309966283314</v>
      </c>
    </row>
    <row r="94" spans="1:7" ht="12.75">
      <c r="A94" s="17">
        <v>37622</v>
      </c>
      <c r="B94" s="19">
        <v>1767.8067856478676</v>
      </c>
      <c r="C94">
        <f t="shared" si="1"/>
        <v>2.400000000000002</v>
      </c>
      <c r="E94" s="23">
        <v>34485</v>
      </c>
      <c r="F94" s="22">
        <v>230.32571499351815</v>
      </c>
      <c r="G94">
        <f t="shared" si="2"/>
        <v>0.6616723317663276</v>
      </c>
    </row>
    <row r="95" spans="1:7" ht="12.75">
      <c r="A95" s="17">
        <v>37712</v>
      </c>
      <c r="B95" s="19">
        <v>1799.6273077895291</v>
      </c>
      <c r="C95">
        <f t="shared" si="1"/>
        <v>1.8000000000000016</v>
      </c>
      <c r="E95" s="21">
        <v>34515</v>
      </c>
      <c r="F95" s="22">
        <v>232.01942107266134</v>
      </c>
      <c r="G95">
        <f t="shared" si="2"/>
        <v>0.7353525763247326</v>
      </c>
    </row>
    <row r="96" spans="1:7" ht="12.75">
      <c r="A96" s="17">
        <v>37803</v>
      </c>
      <c r="B96" s="19">
        <v>1844.6179904842675</v>
      </c>
      <c r="C96">
        <f aca="true" t="shared" si="3" ref="C96:C106">(B96/B95-1)*100</f>
        <v>2.5000000000000133</v>
      </c>
      <c r="E96" s="23">
        <v>34546</v>
      </c>
      <c r="F96" s="22">
        <v>233.28868673737412</v>
      </c>
      <c r="G96">
        <f t="shared" si="2"/>
        <v>0.5470514747622168</v>
      </c>
    </row>
    <row r="97" spans="1:7" ht="12.75">
      <c r="A97" s="17">
        <v>37895</v>
      </c>
      <c r="B97" s="19">
        <v>1899.9565301987955</v>
      </c>
      <c r="C97">
        <f t="shared" si="3"/>
        <v>3.0000000000000027</v>
      </c>
      <c r="E97" s="23">
        <v>34577</v>
      </c>
      <c r="F97" s="22">
        <v>233.70692355293787</v>
      </c>
      <c r="G97">
        <f t="shared" si="2"/>
        <v>0.17927865316271774</v>
      </c>
    </row>
    <row r="98" spans="1:7" ht="12.75">
      <c r="A98" s="17">
        <v>37987</v>
      </c>
      <c r="B98" s="19">
        <v>1961.7051174302562</v>
      </c>
      <c r="C98">
        <f t="shared" si="3"/>
        <v>3.2499999999999973</v>
      </c>
      <c r="E98" s="23">
        <v>34607</v>
      </c>
      <c r="F98" s="22">
        <v>234.24459689032528</v>
      </c>
      <c r="G98">
        <f t="shared" si="2"/>
        <v>0.2300630761012279</v>
      </c>
    </row>
    <row r="99" spans="1:7" ht="12.75">
      <c r="A99" s="17">
        <v>38078</v>
      </c>
      <c r="B99" s="19">
        <v>2037.7077554034377</v>
      </c>
      <c r="C99">
        <f t="shared" si="3"/>
        <v>3.874315119937166</v>
      </c>
      <c r="E99" s="23">
        <v>34638</v>
      </c>
      <c r="F99" s="22">
        <v>235.42633692412517</v>
      </c>
      <c r="G99">
        <f t="shared" si="2"/>
        <v>0.5044897724378217</v>
      </c>
    </row>
    <row r="100" spans="1:7" ht="12.75">
      <c r="A100" s="17">
        <v>38169</v>
      </c>
      <c r="B100" s="19">
        <v>2143.6685586844164</v>
      </c>
      <c r="C100">
        <f t="shared" si="3"/>
        <v>5.200000000000005</v>
      </c>
      <c r="E100" s="23">
        <v>34668</v>
      </c>
      <c r="F100" s="22">
        <v>236.83543988362433</v>
      </c>
      <c r="G100">
        <f t="shared" si="2"/>
        <v>0.5985324233088285</v>
      </c>
    </row>
    <row r="101" spans="1:7" ht="12.75">
      <c r="A101" s="17">
        <v>38261</v>
      </c>
      <c r="B101" s="19">
        <v>2237.989975266531</v>
      </c>
      <c r="C101">
        <f t="shared" si="3"/>
        <v>4.400000000000004</v>
      </c>
      <c r="E101" s="21">
        <v>34699</v>
      </c>
      <c r="F101" s="22">
        <v>236.4140703652065</v>
      </c>
      <c r="G101">
        <f t="shared" si="2"/>
        <v>-0.17791658149848288</v>
      </c>
    </row>
    <row r="102" spans="1:7" ht="12.75">
      <c r="A102" s="17">
        <v>38353</v>
      </c>
      <c r="B102" s="19">
        <v>2365.555403856723</v>
      </c>
      <c r="C102">
        <f t="shared" si="3"/>
        <v>5.699999999999994</v>
      </c>
      <c r="E102" s="23">
        <v>34730</v>
      </c>
      <c r="F102" s="22">
        <v>237.70350282337316</v>
      </c>
      <c r="G102">
        <f t="shared" si="2"/>
        <v>0.5454127396794739</v>
      </c>
    </row>
    <row r="103" spans="1:7" ht="12.75">
      <c r="A103" s="17">
        <v>38443</v>
      </c>
      <c r="B103" s="19">
        <v>2445.9842875878517</v>
      </c>
      <c r="C103">
        <f t="shared" si="3"/>
        <v>3.400000000000003</v>
      </c>
      <c r="E103" s="23">
        <v>34758</v>
      </c>
      <c r="F103" s="22">
        <v>238.1513688178984</v>
      </c>
      <c r="G103">
        <f t="shared" si="2"/>
        <v>0.1884137125476082</v>
      </c>
    </row>
    <row r="104" spans="1:7" ht="12.75">
      <c r="A104" s="17">
        <v>38534</v>
      </c>
      <c r="B104" s="19">
        <v>2570.729486254832</v>
      </c>
      <c r="C104">
        <f t="shared" si="3"/>
        <v>5.099999999999993</v>
      </c>
      <c r="E104" s="23">
        <v>34789</v>
      </c>
      <c r="F104" s="22">
        <v>237.6108174185196</v>
      </c>
      <c r="G104">
        <f t="shared" si="2"/>
        <v>-0.2269780778762387</v>
      </c>
    </row>
    <row r="105" spans="1:7" ht="12.75">
      <c r="A105" s="17">
        <v>38626</v>
      </c>
      <c r="B105" s="19">
        <v>2688.9830426225544</v>
      </c>
      <c r="C105">
        <f t="shared" si="3"/>
        <v>4.600000000000004</v>
      </c>
      <c r="E105" s="23">
        <v>34819</v>
      </c>
      <c r="F105" s="22">
        <v>238.03181911235748</v>
      </c>
      <c r="G105">
        <f t="shared" si="2"/>
        <v>0.1771811984032423</v>
      </c>
    </row>
    <row r="106" spans="1:7" ht="12.75">
      <c r="A106" s="17">
        <v>38718</v>
      </c>
      <c r="B106" s="19">
        <v>2839.5660930094177</v>
      </c>
      <c r="C106">
        <f t="shared" si="3"/>
        <v>5.600000000000005</v>
      </c>
      <c r="E106" s="23">
        <v>34850</v>
      </c>
      <c r="F106" s="22">
        <v>238.42125947481983</v>
      </c>
      <c r="G106">
        <f t="shared" si="2"/>
        <v>0.16360853095800376</v>
      </c>
    </row>
    <row r="107" spans="5:7" ht="12.75">
      <c r="E107" s="21">
        <v>34880</v>
      </c>
      <c r="F107" s="22">
        <v>238.70802845373856</v>
      </c>
      <c r="G107">
        <f t="shared" si="2"/>
        <v>0.12027827533098723</v>
      </c>
    </row>
    <row r="108" spans="5:7" ht="12.75">
      <c r="E108" s="23">
        <v>34911</v>
      </c>
      <c r="F108" s="22">
        <v>238.72249047307156</v>
      </c>
      <c r="G108">
        <f t="shared" si="2"/>
        <v>0.006058455355129055</v>
      </c>
    </row>
    <row r="109" spans="5:7" ht="12.75">
      <c r="E109" s="23">
        <v>34942</v>
      </c>
      <c r="F109" s="22">
        <v>236.5489351122772</v>
      </c>
      <c r="G109">
        <f t="shared" si="2"/>
        <v>-0.9104945899680694</v>
      </c>
    </row>
    <row r="110" spans="5:7" ht="12.75">
      <c r="E110" s="23">
        <v>34972</v>
      </c>
      <c r="F110" s="22">
        <v>236.99401694720117</v>
      </c>
      <c r="G110">
        <f t="shared" si="2"/>
        <v>0.1881563468940195</v>
      </c>
    </row>
    <row r="111" spans="5:7" ht="12.75">
      <c r="E111" s="23">
        <v>35003</v>
      </c>
      <c r="F111" s="22">
        <v>236.97663362990488</v>
      </c>
      <c r="G111">
        <f t="shared" si="2"/>
        <v>-0.0073349182060478135</v>
      </c>
    </row>
    <row r="112" spans="5:7" ht="12.75">
      <c r="E112" s="23">
        <v>35033</v>
      </c>
      <c r="F112" s="22">
        <v>238.21206751468438</v>
      </c>
      <c r="G112">
        <f t="shared" si="2"/>
        <v>0.5213315194226853</v>
      </c>
    </row>
    <row r="113" spans="5:7" ht="12.75">
      <c r="E113" s="21">
        <v>35064</v>
      </c>
      <c r="F113" s="22">
        <v>238.98477693751104</v>
      </c>
      <c r="G113">
        <f t="shared" si="2"/>
        <v>0.3243787902470707</v>
      </c>
    </row>
    <row r="114" spans="5:7" ht="12.75">
      <c r="E114" s="23">
        <v>35095</v>
      </c>
      <c r="F114" s="22">
        <v>240.59663981418774</v>
      </c>
      <c r="G114">
        <f t="shared" si="2"/>
        <v>0.6744625734458998</v>
      </c>
    </row>
    <row r="115" spans="5:7" ht="12.75">
      <c r="E115" s="23">
        <v>35124</v>
      </c>
      <c r="F115" s="22">
        <v>242.07145761179896</v>
      </c>
      <c r="G115">
        <f t="shared" si="2"/>
        <v>0.6129835390678018</v>
      </c>
    </row>
    <row r="116" spans="5:7" ht="12.75">
      <c r="E116" s="23">
        <v>35155</v>
      </c>
      <c r="F116" s="22">
        <v>243.79546642333912</v>
      </c>
      <c r="G116">
        <f t="shared" si="2"/>
        <v>0.7121900403082249</v>
      </c>
    </row>
    <row r="117" spans="5:7" ht="12.75">
      <c r="E117" s="23">
        <v>35185</v>
      </c>
      <c r="F117" s="22">
        <v>245.31429591524642</v>
      </c>
      <c r="G117">
        <f t="shared" si="2"/>
        <v>0.622993328870991</v>
      </c>
    </row>
    <row r="118" spans="5:7" ht="12.75">
      <c r="E118" s="23">
        <v>35216</v>
      </c>
      <c r="F118" s="22">
        <v>246.73177361642917</v>
      </c>
      <c r="G118">
        <f t="shared" si="2"/>
        <v>0.5778210747540147</v>
      </c>
    </row>
    <row r="119" spans="5:7" ht="12.75">
      <c r="E119" s="21">
        <v>35246</v>
      </c>
      <c r="F119" s="22">
        <v>248.8230820224863</v>
      </c>
      <c r="G119">
        <f t="shared" si="2"/>
        <v>0.8476040095704462</v>
      </c>
    </row>
    <row r="120" spans="5:7" ht="12.75">
      <c r="E120" s="23">
        <v>35277</v>
      </c>
      <c r="F120" s="22">
        <v>250.3298987449258</v>
      </c>
      <c r="G120">
        <f t="shared" si="2"/>
        <v>0.6055775493944537</v>
      </c>
    </row>
    <row r="121" spans="5:7" ht="12.75">
      <c r="E121" s="23">
        <v>35308</v>
      </c>
      <c r="F121" s="22">
        <v>252.11159439310228</v>
      </c>
      <c r="G121">
        <f t="shared" si="2"/>
        <v>0.7117390519907341</v>
      </c>
    </row>
    <row r="122" spans="5:7" ht="12.75">
      <c r="E122" s="23">
        <v>35338</v>
      </c>
      <c r="F122" s="22">
        <v>254.29561342055607</v>
      </c>
      <c r="G122">
        <f t="shared" si="2"/>
        <v>0.8662905935410414</v>
      </c>
    </row>
    <row r="123" spans="5:7" ht="12.75">
      <c r="E123" s="23">
        <v>35369</v>
      </c>
      <c r="F123" s="22">
        <v>256.93241287550524</v>
      </c>
      <c r="G123">
        <f t="shared" si="2"/>
        <v>1.0369032400839862</v>
      </c>
    </row>
    <row r="124" spans="5:7" ht="12.75">
      <c r="E124" s="23">
        <v>35399</v>
      </c>
      <c r="F124" s="22">
        <v>258.9238843171982</v>
      </c>
      <c r="G124">
        <f t="shared" si="2"/>
        <v>0.7750954499687435</v>
      </c>
    </row>
    <row r="125" spans="5:7" ht="12.75">
      <c r="E125" s="21">
        <v>35430</v>
      </c>
      <c r="F125" s="22">
        <v>261.2526755344315</v>
      </c>
      <c r="G125">
        <f t="shared" si="2"/>
        <v>0.8994115098243993</v>
      </c>
    </row>
    <row r="126" spans="5:7" ht="12.75">
      <c r="E126" s="23">
        <v>35461</v>
      </c>
      <c r="F126" s="22">
        <v>263.95765114632013</v>
      </c>
      <c r="G126">
        <f t="shared" si="2"/>
        <v>1.0353867597165056</v>
      </c>
    </row>
    <row r="127" spans="5:7" ht="12.75">
      <c r="E127" s="23">
        <v>35489</v>
      </c>
      <c r="F127" s="22">
        <v>266.55074909838874</v>
      </c>
      <c r="G127">
        <f t="shared" si="2"/>
        <v>0.9823916604831284</v>
      </c>
    </row>
    <row r="128" spans="5:7" ht="12.75">
      <c r="E128" s="23">
        <v>35520</v>
      </c>
      <c r="F128" s="22">
        <v>269.9284455695938</v>
      </c>
      <c r="G128">
        <f t="shared" si="2"/>
        <v>1.2671870113402983</v>
      </c>
    </row>
    <row r="129" spans="5:7" ht="12.75">
      <c r="E129" s="23">
        <v>35550</v>
      </c>
      <c r="F129" s="22">
        <v>272.68834916723864</v>
      </c>
      <c r="G129">
        <f t="shared" si="2"/>
        <v>1.0224574856573465</v>
      </c>
    </row>
    <row r="130" spans="5:7" ht="12.75">
      <c r="E130" s="23">
        <v>35581</v>
      </c>
      <c r="F130" s="22">
        <v>275.4667751689699</v>
      </c>
      <c r="G130">
        <f t="shared" si="2"/>
        <v>1.0189016179885435</v>
      </c>
    </row>
    <row r="131" spans="5:7" ht="12.75">
      <c r="E131" s="21">
        <v>35611</v>
      </c>
      <c r="F131" s="22">
        <v>278.6969343889903</v>
      </c>
      <c r="G131">
        <f t="shared" si="2"/>
        <v>1.17261300134619</v>
      </c>
    </row>
    <row r="132" spans="5:7" ht="12.75">
      <c r="E132" s="23">
        <v>35642</v>
      </c>
      <c r="F132" s="22">
        <v>280.65049124297946</v>
      </c>
      <c r="G132">
        <f t="shared" si="2"/>
        <v>0.7009610128192012</v>
      </c>
    </row>
    <row r="133" spans="5:7" ht="12.75">
      <c r="E133" s="23">
        <v>35673</v>
      </c>
      <c r="F133" s="22">
        <v>284.2283123219005</v>
      </c>
      <c r="G133">
        <f t="shared" si="2"/>
        <v>1.2748315754143702</v>
      </c>
    </row>
    <row r="134" spans="5:7" ht="12.75">
      <c r="E134" s="23">
        <v>35703</v>
      </c>
      <c r="F134" s="22">
        <v>287.8752075551348</v>
      </c>
      <c r="G134">
        <f t="shared" si="2"/>
        <v>1.283086545264367</v>
      </c>
    </row>
    <row r="135" spans="5:7" ht="12.75">
      <c r="E135" s="23">
        <v>35734</v>
      </c>
      <c r="F135" s="22">
        <v>292.4134097237808</v>
      </c>
      <c r="G135">
        <f aca="true" t="shared" si="4" ref="G135:G198">(F135/F134-1)*100</f>
        <v>1.576447727884589</v>
      </c>
    </row>
    <row r="136" spans="5:7" ht="12.75">
      <c r="E136" s="23">
        <v>35764</v>
      </c>
      <c r="F136" s="22">
        <v>296.17600972826165</v>
      </c>
      <c r="G136">
        <f t="shared" si="4"/>
        <v>1.2867398961063703</v>
      </c>
    </row>
    <row r="137" spans="5:7" ht="12.75">
      <c r="E137" s="21">
        <v>35795</v>
      </c>
      <c r="F137" s="22">
        <v>300.95433142823157</v>
      </c>
      <c r="G137">
        <f t="shared" si="4"/>
        <v>1.6133385362149921</v>
      </c>
    </row>
    <row r="138" spans="5:7" ht="12.75">
      <c r="E138" s="23">
        <v>35826</v>
      </c>
      <c r="F138" s="22">
        <v>304.2621434537355</v>
      </c>
      <c r="G138">
        <f t="shared" si="4"/>
        <v>1.0991076319806226</v>
      </c>
    </row>
    <row r="139" spans="5:7" ht="12.75">
      <c r="E139" s="23">
        <v>35854</v>
      </c>
      <c r="F139" s="22">
        <v>308.40126516008905</v>
      </c>
      <c r="G139">
        <f t="shared" si="4"/>
        <v>1.3603801180684494</v>
      </c>
    </row>
    <row r="140" spans="5:7" ht="12.75">
      <c r="E140" s="23">
        <v>35885</v>
      </c>
      <c r="F140" s="22">
        <v>309.7411490021088</v>
      </c>
      <c r="G140">
        <f t="shared" si="4"/>
        <v>0.4344612014883342</v>
      </c>
    </row>
    <row r="141" spans="5:7" ht="12.75">
      <c r="E141" s="23">
        <v>35915</v>
      </c>
      <c r="F141" s="22">
        <v>313.5776130643305</v>
      </c>
      <c r="G141">
        <f t="shared" si="4"/>
        <v>1.2386032900638444</v>
      </c>
    </row>
    <row r="142" spans="5:7" ht="12.75">
      <c r="E142" s="23">
        <v>35946</v>
      </c>
      <c r="F142" s="22">
        <v>317.33758202551996</v>
      </c>
      <c r="G142">
        <f t="shared" si="4"/>
        <v>1.1990552911116614</v>
      </c>
    </row>
    <row r="143" spans="5:7" ht="12.75">
      <c r="E143" s="21">
        <v>35976</v>
      </c>
      <c r="F143" s="22">
        <v>321.9560712793662</v>
      </c>
      <c r="G143">
        <f t="shared" si="4"/>
        <v>1.4553867916831997</v>
      </c>
    </row>
    <row r="144" spans="5:7" ht="12.75">
      <c r="E144" s="23">
        <v>36007</v>
      </c>
      <c r="F144" s="22">
        <v>325.4996613412811</v>
      </c>
      <c r="G144">
        <f t="shared" si="4"/>
        <v>1.1006439629585696</v>
      </c>
    </row>
    <row r="145" spans="5:7" ht="12.75">
      <c r="E145" s="23">
        <v>36038</v>
      </c>
      <c r="F145" s="22">
        <v>328.2510642157548</v>
      </c>
      <c r="G145">
        <f t="shared" si="4"/>
        <v>0.8452859407398483</v>
      </c>
    </row>
    <row r="146" spans="5:7" ht="12.75">
      <c r="E146" s="23">
        <v>36068</v>
      </c>
      <c r="F146" s="22">
        <v>330.33547357903797</v>
      </c>
      <c r="G146">
        <f t="shared" si="4"/>
        <v>0.6350046018169575</v>
      </c>
    </row>
    <row r="147" spans="5:7" ht="12.75">
      <c r="E147" s="23">
        <v>36099</v>
      </c>
      <c r="F147" s="22">
        <v>332.5926762282026</v>
      </c>
      <c r="G147">
        <f t="shared" si="4"/>
        <v>0.6833061628861214</v>
      </c>
    </row>
    <row r="148" spans="5:7" ht="12.75">
      <c r="E148" s="23">
        <v>36129</v>
      </c>
      <c r="F148" s="22">
        <v>333.6462792181585</v>
      </c>
      <c r="G148">
        <f t="shared" si="4"/>
        <v>0.3167847836892834</v>
      </c>
    </row>
    <row r="149" spans="5:7" ht="12.75">
      <c r="E149" s="21">
        <v>36160</v>
      </c>
      <c r="F149" s="22">
        <v>335.7016087319904</v>
      </c>
      <c r="G149">
        <f t="shared" si="4"/>
        <v>0.6160205108980188</v>
      </c>
    </row>
    <row r="150" spans="5:7" ht="12.75">
      <c r="E150" s="23">
        <v>36191</v>
      </c>
      <c r="F150" s="22">
        <v>337.50664182671244</v>
      </c>
      <c r="G150">
        <f t="shared" si="4"/>
        <v>0.5376897362928901</v>
      </c>
    </row>
    <row r="151" spans="5:7" ht="12.75">
      <c r="E151" s="23">
        <v>36219</v>
      </c>
      <c r="F151" s="22">
        <v>340.13242864466764</v>
      </c>
      <c r="G151">
        <f t="shared" si="4"/>
        <v>0.7779955984698494</v>
      </c>
    </row>
    <row r="152" spans="5:7" ht="12.75">
      <c r="E152" s="23">
        <v>36250</v>
      </c>
      <c r="F152" s="22">
        <v>342.86170409399097</v>
      </c>
      <c r="G152">
        <f t="shared" si="4"/>
        <v>0.8024155356778806</v>
      </c>
    </row>
    <row r="153" spans="5:7" ht="12.75">
      <c r="E153" s="23">
        <v>36280</v>
      </c>
      <c r="F153" s="22">
        <v>346.17409772858883</v>
      </c>
      <c r="G153">
        <f t="shared" si="4"/>
        <v>0.9661019574498164</v>
      </c>
    </row>
    <row r="154" spans="5:7" ht="12.75">
      <c r="E154" s="23">
        <v>36311</v>
      </c>
      <c r="F154" s="22">
        <v>350.22259712788264</v>
      </c>
      <c r="G154">
        <f t="shared" si="4"/>
        <v>1.1694980721717485</v>
      </c>
    </row>
    <row r="155" spans="5:7" ht="12.75">
      <c r="E155" s="21">
        <v>36341</v>
      </c>
      <c r="F155" s="22">
        <v>355.792270767234</v>
      </c>
      <c r="G155">
        <f t="shared" si="4"/>
        <v>1.590323892583556</v>
      </c>
    </row>
    <row r="156" spans="5:7" ht="12.75">
      <c r="E156" s="23">
        <v>36372</v>
      </c>
      <c r="F156" s="22">
        <v>359.5212282700186</v>
      </c>
      <c r="G156">
        <f t="shared" si="4"/>
        <v>1.0480715319485245</v>
      </c>
    </row>
    <row r="157" spans="5:7" ht="12.75">
      <c r="E157" s="23">
        <v>36403</v>
      </c>
      <c r="F157" s="22">
        <v>362.81244116168887</v>
      </c>
      <c r="G157">
        <f t="shared" si="4"/>
        <v>0.9154432709042704</v>
      </c>
    </row>
    <row r="158" spans="5:7" ht="12.75">
      <c r="E158" s="23">
        <v>36433</v>
      </c>
      <c r="F158" s="22">
        <v>367.2066617344263</v>
      </c>
      <c r="G158">
        <f t="shared" si="4"/>
        <v>1.2111548762406166</v>
      </c>
    </row>
    <row r="159" spans="5:7" ht="12.75">
      <c r="E159" s="23">
        <v>36464</v>
      </c>
      <c r="F159" s="22">
        <v>371.3215930971049</v>
      </c>
      <c r="G159">
        <f t="shared" si="4"/>
        <v>1.1206036794764396</v>
      </c>
    </row>
    <row r="160" spans="5:7" ht="12.75">
      <c r="E160" s="23">
        <v>36494</v>
      </c>
      <c r="F160" s="22">
        <v>376.4473884514261</v>
      </c>
      <c r="G160">
        <f t="shared" si="4"/>
        <v>1.3804194126089353</v>
      </c>
    </row>
    <row r="161" spans="5:7" ht="12.75">
      <c r="E161" s="21">
        <v>36525</v>
      </c>
      <c r="F161" s="22">
        <v>380.8649619060261</v>
      </c>
      <c r="G161">
        <f t="shared" si="4"/>
        <v>1.1734902645419876</v>
      </c>
    </row>
    <row r="162" spans="5:7" ht="12.75">
      <c r="E162" s="23">
        <v>36556</v>
      </c>
      <c r="F162" s="22">
        <v>384.7077362977611</v>
      </c>
      <c r="G162">
        <f t="shared" si="4"/>
        <v>1.0089598088792284</v>
      </c>
    </row>
    <row r="163" spans="5:7" ht="12.75">
      <c r="E163" s="23">
        <v>36585</v>
      </c>
      <c r="F163" s="22">
        <v>388.6875647572301</v>
      </c>
      <c r="G163">
        <f t="shared" si="4"/>
        <v>1.0345069994611933</v>
      </c>
    </row>
    <row r="164" spans="5:7" ht="12.75">
      <c r="E164" s="23">
        <v>36616</v>
      </c>
      <c r="F164" s="22">
        <v>391.4387300550186</v>
      </c>
      <c r="G164">
        <f t="shared" si="4"/>
        <v>0.7078089311930658</v>
      </c>
    </row>
    <row r="165" spans="5:7" ht="12.75">
      <c r="E165" s="23">
        <v>36646</v>
      </c>
      <c r="F165" s="22">
        <v>394.6225086979249</v>
      </c>
      <c r="G165">
        <f t="shared" si="4"/>
        <v>0.8133529971494635</v>
      </c>
    </row>
    <row r="166" spans="5:7" ht="12.75">
      <c r="E166" s="23">
        <v>36677</v>
      </c>
      <c r="F166" s="22">
        <v>398.5310315388002</v>
      </c>
      <c r="G166">
        <f t="shared" si="4"/>
        <v>0.9904459970546675</v>
      </c>
    </row>
    <row r="167" spans="5:7" ht="12.75">
      <c r="E167" s="21">
        <v>36707</v>
      </c>
      <c r="F167" s="22">
        <v>401.3492399330116</v>
      </c>
      <c r="G167">
        <f t="shared" si="4"/>
        <v>0.7071490476738385</v>
      </c>
    </row>
    <row r="168" spans="5:7" ht="12.75">
      <c r="E168" s="23">
        <v>36738</v>
      </c>
      <c r="F168" s="22">
        <v>404.4437104288538</v>
      </c>
      <c r="G168">
        <f t="shared" si="4"/>
        <v>0.7710169069608197</v>
      </c>
    </row>
    <row r="169" spans="5:7" ht="12.75">
      <c r="E169" s="23">
        <v>36769</v>
      </c>
      <c r="F169" s="22">
        <v>407.56085370031104</v>
      </c>
      <c r="G169">
        <f t="shared" si="4"/>
        <v>0.7707236362142877</v>
      </c>
    </row>
    <row r="170" spans="5:7" ht="12.75">
      <c r="E170" s="23">
        <v>36799</v>
      </c>
      <c r="F170" s="22">
        <v>407.9971569085242</v>
      </c>
      <c r="G170">
        <f t="shared" si="4"/>
        <v>0.10705228538312461</v>
      </c>
    </row>
    <row r="171" spans="5:7" ht="12.75">
      <c r="E171" s="23">
        <v>36830</v>
      </c>
      <c r="F171" s="22">
        <v>409.97551046834593</v>
      </c>
      <c r="G171">
        <f t="shared" si="4"/>
        <v>0.4848939573040445</v>
      </c>
    </row>
    <row r="172" spans="5:7" ht="12.75">
      <c r="E172" s="23">
        <v>36860</v>
      </c>
      <c r="F172" s="22">
        <v>410.46037409588774</v>
      </c>
      <c r="G172">
        <f t="shared" si="4"/>
        <v>0.11826648547565988</v>
      </c>
    </row>
    <row r="173" spans="5:7" ht="12.75">
      <c r="E173" s="21">
        <v>36891</v>
      </c>
      <c r="F173" s="22">
        <v>411.59749577051474</v>
      </c>
      <c r="G173">
        <f t="shared" si="4"/>
        <v>0.277035676618409</v>
      </c>
    </row>
    <row r="174" spans="5:7" ht="12.75">
      <c r="E174" s="23">
        <v>36922</v>
      </c>
      <c r="F174" s="22">
        <v>414.93165215262826</v>
      </c>
      <c r="G174">
        <f t="shared" si="4"/>
        <v>0.8100526403524322</v>
      </c>
    </row>
    <row r="175" spans="5:7" ht="12.75">
      <c r="E175" s="23">
        <v>36950</v>
      </c>
      <c r="F175" s="22">
        <v>416.0351561225804</v>
      </c>
      <c r="G175">
        <f t="shared" si="4"/>
        <v>0.2659483710696131</v>
      </c>
    </row>
    <row r="176" spans="5:7" ht="12.75">
      <c r="E176" s="23">
        <v>36981</v>
      </c>
      <c r="F176" s="22">
        <v>415.2030858103352</v>
      </c>
      <c r="G176">
        <f t="shared" si="4"/>
        <v>-0.20000000000001128</v>
      </c>
    </row>
    <row r="177" spans="5:7" ht="12.75">
      <c r="E177" s="23">
        <v>37011</v>
      </c>
      <c r="F177" s="22">
        <v>417.9356700528533</v>
      </c>
      <c r="G177">
        <f t="shared" si="4"/>
        <v>0.6581319686449483</v>
      </c>
    </row>
    <row r="178" spans="5:7" ht="12.75">
      <c r="E178" s="23">
        <v>37042</v>
      </c>
      <c r="F178" s="22">
        <v>419.97310644436095</v>
      </c>
      <c r="G178">
        <f t="shared" si="4"/>
        <v>0.48749999999999627</v>
      </c>
    </row>
    <row r="179" spans="5:7" ht="12.75">
      <c r="E179" s="21">
        <v>37072</v>
      </c>
      <c r="F179" s="22">
        <v>422.1211243899403</v>
      </c>
      <c r="G179">
        <f t="shared" si="4"/>
        <v>0.5114655944913338</v>
      </c>
    </row>
    <row r="180" spans="5:7" ht="12.75">
      <c r="E180" s="23">
        <v>37103</v>
      </c>
      <c r="F180">
        <v>424.43249081864985</v>
      </c>
      <c r="G180">
        <f t="shared" si="4"/>
        <v>0.5475600000000025</v>
      </c>
    </row>
    <row r="181" spans="5:7" ht="12.75">
      <c r="E181" s="23">
        <v>37134</v>
      </c>
      <c r="F181">
        <v>426.4624240924882</v>
      </c>
      <c r="G181">
        <f t="shared" si="4"/>
        <v>0.47827000000000286</v>
      </c>
    </row>
    <row r="182" spans="5:7" ht="12.75">
      <c r="E182" s="23">
        <v>37164</v>
      </c>
      <c r="F182">
        <v>427.48337513576564</v>
      </c>
      <c r="G182">
        <f t="shared" si="4"/>
        <v>0.23940000000000072</v>
      </c>
    </row>
    <row r="183" spans="5:7" ht="12.75">
      <c r="E183" s="23">
        <v>37195</v>
      </c>
      <c r="F183">
        <v>429.4153862496917</v>
      </c>
      <c r="G183">
        <f t="shared" si="4"/>
        <v>0.45195000000000096</v>
      </c>
    </row>
    <row r="184" spans="5:7" ht="12.75">
      <c r="E184" s="23">
        <v>37225</v>
      </c>
      <c r="F184">
        <v>431.97461606866267</v>
      </c>
      <c r="G184">
        <f t="shared" si="4"/>
        <v>0.5959800000000071</v>
      </c>
    </row>
    <row r="185" spans="5:7" ht="12.75">
      <c r="E185" s="21">
        <v>37256</v>
      </c>
      <c r="F185">
        <v>434.4367849853308</v>
      </c>
      <c r="G185">
        <f t="shared" si="4"/>
        <v>0.5699799999999922</v>
      </c>
    </row>
    <row r="186" spans="5:7" ht="12.75">
      <c r="E186" s="23">
        <v>37287</v>
      </c>
      <c r="F186">
        <v>436.78005011618467</v>
      </c>
      <c r="G186">
        <f t="shared" si="4"/>
        <v>0.5393800000000004</v>
      </c>
    </row>
    <row r="187" spans="5:7" ht="12.75">
      <c r="E187" s="23">
        <v>37315</v>
      </c>
      <c r="F187">
        <v>439.74976135492966</v>
      </c>
      <c r="G187">
        <f t="shared" si="4"/>
        <v>0.6799100000000058</v>
      </c>
    </row>
    <row r="188" spans="5:7" ht="12.75">
      <c r="E188" s="23">
        <v>37346</v>
      </c>
      <c r="F188">
        <v>442.4762098753302</v>
      </c>
      <c r="G188">
        <f t="shared" si="4"/>
        <v>0.6199999999999983</v>
      </c>
    </row>
    <row r="189" spans="5:7" ht="12.75">
      <c r="E189" s="23">
        <v>37376</v>
      </c>
      <c r="F189">
        <v>445.56106551533907</v>
      </c>
      <c r="G189">
        <f t="shared" si="4"/>
        <v>0.6971800000000083</v>
      </c>
    </row>
    <row r="190" spans="5:7" ht="12.75">
      <c r="E190" s="23">
        <v>37407</v>
      </c>
      <c r="F190">
        <v>449.10127096139115</v>
      </c>
      <c r="G190">
        <f t="shared" si="4"/>
        <v>0.7945499999999939</v>
      </c>
    </row>
    <row r="191" spans="5:7" ht="12.75">
      <c r="E191" s="21">
        <v>37437</v>
      </c>
      <c r="F191">
        <v>453.30553250949623</v>
      </c>
      <c r="G191">
        <f t="shared" si="4"/>
        <v>0.9361500000000023</v>
      </c>
    </row>
    <row r="192" spans="5:7" ht="12.75">
      <c r="E192" s="23">
        <v>37468</v>
      </c>
      <c r="F192">
        <v>457.12930066787357</v>
      </c>
      <c r="G192">
        <f t="shared" si="4"/>
        <v>0.8435299999999923</v>
      </c>
    </row>
    <row r="193" spans="5:7" ht="12.75">
      <c r="E193" s="23">
        <v>37499</v>
      </c>
      <c r="F193">
        <v>462.74499698778817</v>
      </c>
      <c r="G193">
        <f t="shared" si="4"/>
        <v>1.2284699999999926</v>
      </c>
    </row>
    <row r="194" spans="5:7" ht="12.75">
      <c r="E194" s="23">
        <v>37529</v>
      </c>
      <c r="F194">
        <v>466.53182439613806</v>
      </c>
      <c r="G194">
        <f t="shared" si="4"/>
        <v>0.8183400000000063</v>
      </c>
    </row>
    <row r="195" spans="5:7" ht="12.75">
      <c r="E195" s="23">
        <v>37560</v>
      </c>
      <c r="F195">
        <v>469.86099549502893</v>
      </c>
      <c r="G195">
        <f t="shared" si="4"/>
        <v>0.7136000000000031</v>
      </c>
    </row>
    <row r="196" spans="5:7" ht="12.75">
      <c r="E196" s="23">
        <v>37590</v>
      </c>
      <c r="F196">
        <v>472.91579675723983</v>
      </c>
      <c r="G196">
        <f t="shared" si="4"/>
        <v>0.6501499999999938</v>
      </c>
    </row>
    <row r="197" spans="5:7" ht="12.75">
      <c r="E197" s="21">
        <v>37621</v>
      </c>
      <c r="F197">
        <v>477.27556019596517</v>
      </c>
      <c r="G197">
        <f t="shared" si="4"/>
        <v>0.921890000000003</v>
      </c>
    </row>
    <row r="198" spans="5:7" ht="12.75">
      <c r="E198" s="23">
        <v>37652</v>
      </c>
      <c r="F198">
        <v>479.7843114505792</v>
      </c>
      <c r="G198">
        <f t="shared" si="4"/>
        <v>0.5256399999999939</v>
      </c>
    </row>
    <row r="199" spans="5:7" ht="12.75">
      <c r="E199" s="23">
        <v>37680</v>
      </c>
      <c r="F199">
        <v>482.62338713515686</v>
      </c>
      <c r="G199">
        <f aca="true" t="shared" si="5" ref="G199:G221">(F199/F198-1)*100</f>
        <v>0.5917399999999962</v>
      </c>
    </row>
    <row r="200" spans="5:7" ht="12.75">
      <c r="E200" s="23">
        <v>37711</v>
      </c>
      <c r="F200">
        <v>485.85826691210764</v>
      </c>
      <c r="G200">
        <f t="shared" si="5"/>
        <v>0.670269999999995</v>
      </c>
    </row>
    <row r="201" spans="5:7" ht="12.75">
      <c r="E201" s="23">
        <v>37741</v>
      </c>
      <c r="F201">
        <v>490.3823847502864</v>
      </c>
      <c r="G201">
        <f t="shared" si="5"/>
        <v>0.9311599999999975</v>
      </c>
    </row>
    <row r="202" spans="5:7" ht="12.75">
      <c r="E202" s="23">
        <v>37772</v>
      </c>
      <c r="F202">
        <v>494.1153716159595</v>
      </c>
      <c r="G202">
        <f t="shared" si="5"/>
        <v>0.7612399999999964</v>
      </c>
    </row>
    <row r="203" spans="5:7" ht="12.75">
      <c r="E203" s="21">
        <v>37802</v>
      </c>
      <c r="F203">
        <v>498.3499897622454</v>
      </c>
      <c r="G203">
        <f t="shared" si="5"/>
        <v>0.8570100000000025</v>
      </c>
    </row>
    <row r="204" spans="5:7" ht="12.75">
      <c r="E204" s="21">
        <v>37833</v>
      </c>
      <c r="F204">
        <v>502.8983304488074</v>
      </c>
      <c r="G204">
        <f t="shared" si="5"/>
        <v>0.912679999999999</v>
      </c>
    </row>
    <row r="205" spans="5:7" ht="12.75">
      <c r="E205" s="23">
        <v>37864</v>
      </c>
      <c r="F205">
        <v>506.9985611166226</v>
      </c>
      <c r="G205">
        <f t="shared" si="5"/>
        <v>0.8153199999999972</v>
      </c>
    </row>
    <row r="206" spans="5:7" ht="12.75">
      <c r="E206" s="23">
        <v>37894</v>
      </c>
      <c r="F206">
        <v>512.7731733280286</v>
      </c>
      <c r="G206">
        <f t="shared" si="5"/>
        <v>1.1389799999999894</v>
      </c>
    </row>
    <row r="207" spans="5:7" ht="12.75">
      <c r="E207" s="23">
        <v>37925</v>
      </c>
      <c r="F207">
        <v>518.3542478238483</v>
      </c>
      <c r="G207">
        <f t="shared" si="5"/>
        <v>1.0884099999999952</v>
      </c>
    </row>
    <row r="208" spans="5:7" ht="12.75">
      <c r="E208" s="23">
        <v>37955</v>
      </c>
      <c r="F208">
        <v>524.5024475572868</v>
      </c>
      <c r="G208">
        <f t="shared" si="5"/>
        <v>1.18609999999999</v>
      </c>
    </row>
    <row r="209" spans="5:7" ht="12.75">
      <c r="E209" s="23">
        <v>37986</v>
      </c>
      <c r="F209">
        <v>531.5672332746597</v>
      </c>
      <c r="G209">
        <f t="shared" si="5"/>
        <v>1.3469500000000023</v>
      </c>
    </row>
    <row r="210" spans="5:7" ht="12.75">
      <c r="E210" s="21">
        <v>38017</v>
      </c>
      <c r="F210">
        <v>536.1372230925687</v>
      </c>
      <c r="G210">
        <f t="shared" si="5"/>
        <v>0.8597200000000083</v>
      </c>
    </row>
    <row r="211" spans="5:7" ht="12.75">
      <c r="E211" s="21">
        <v>38046</v>
      </c>
      <c r="F211">
        <v>541.4145290069134</v>
      </c>
      <c r="G211">
        <f t="shared" si="5"/>
        <v>0.9843199999999941</v>
      </c>
    </row>
    <row r="212" spans="5:7" ht="12.75">
      <c r="E212" s="23">
        <v>38077</v>
      </c>
      <c r="F212">
        <v>554.1417769060905</v>
      </c>
      <c r="G212">
        <f t="shared" si="5"/>
        <v>2.3507399999999956</v>
      </c>
    </row>
    <row r="213" spans="5:7" ht="12.75">
      <c r="E213" s="23">
        <v>38107</v>
      </c>
      <c r="F213">
        <v>561.2931981937744</v>
      </c>
      <c r="G213">
        <f t="shared" si="5"/>
        <v>1.2905399999999956</v>
      </c>
    </row>
    <row r="214" spans="5:7" ht="12.75">
      <c r="E214" s="23">
        <v>38138</v>
      </c>
      <c r="F214">
        <v>570.742456926727</v>
      </c>
      <c r="G214">
        <f t="shared" si="5"/>
        <v>1.6834800000000039</v>
      </c>
    </row>
    <row r="215" spans="5:7" ht="12.75">
      <c r="E215" s="23">
        <v>38168</v>
      </c>
      <c r="F215">
        <v>582.2422896170979</v>
      </c>
      <c r="G215">
        <f t="shared" si="5"/>
        <v>2.0148899999999914</v>
      </c>
    </row>
    <row r="216" spans="5:7" ht="12.75">
      <c r="E216" s="23">
        <v>38199</v>
      </c>
      <c r="F216">
        <v>589.8246562820945</v>
      </c>
      <c r="G216">
        <f t="shared" si="5"/>
        <v>1.3022700000000054</v>
      </c>
    </row>
    <row r="217" spans="5:7" ht="12.75">
      <c r="E217" s="21">
        <v>38230</v>
      </c>
      <c r="F217">
        <v>597.5837406530197</v>
      </c>
      <c r="G217">
        <f t="shared" si="5"/>
        <v>1.315489999999997</v>
      </c>
    </row>
    <row r="218" spans="5:7" ht="12.75">
      <c r="E218" s="21">
        <v>38260</v>
      </c>
      <c r="F218">
        <v>607.5594450692369</v>
      </c>
      <c r="G218">
        <f t="shared" si="5"/>
        <v>1.669340000000008</v>
      </c>
    </row>
    <row r="219" spans="5:7" ht="12.75">
      <c r="E219" s="23">
        <v>38291</v>
      </c>
      <c r="F219">
        <v>615.9559166000937</v>
      </c>
      <c r="G219">
        <f t="shared" si="5"/>
        <v>1.3819999999999943</v>
      </c>
    </row>
    <row r="220" spans="5:7" ht="12.75">
      <c r="E220" s="23">
        <v>38321</v>
      </c>
      <c r="F220">
        <v>625.0330125606627</v>
      </c>
      <c r="G220">
        <f t="shared" si="5"/>
        <v>1.4736599999999989</v>
      </c>
    </row>
    <row r="221" spans="5:7" ht="12.75">
      <c r="E221" s="21">
        <v>38352</v>
      </c>
      <c r="F221">
        <v>634.5892047930039</v>
      </c>
      <c r="G221">
        <f t="shared" si="5"/>
        <v>1.5289099999999944</v>
      </c>
    </row>
    <row r="222" ht="12.75">
      <c r="E222" s="21"/>
    </row>
    <row r="223" ht="12.75">
      <c r="E223" s="23"/>
    </row>
    <row r="224" ht="12.75">
      <c r="E224" s="23"/>
    </row>
    <row r="229" spans="1:2" ht="12.75">
      <c r="A229" s="21">
        <v>31777</v>
      </c>
      <c r="B229" s="22">
        <v>100</v>
      </c>
    </row>
    <row r="230" spans="1:2" ht="12.75">
      <c r="A230" s="23">
        <v>31808</v>
      </c>
      <c r="B230" s="22">
        <v>100.74841936045844</v>
      </c>
    </row>
    <row r="231" spans="1:2" ht="12.75">
      <c r="A231" s="23">
        <v>31836</v>
      </c>
      <c r="B231" s="22">
        <v>101.60546073702112</v>
      </c>
    </row>
    <row r="232" spans="1:3" ht="12.75">
      <c r="A232" s="23">
        <v>31867</v>
      </c>
      <c r="B232" s="22">
        <v>102.90950090139023</v>
      </c>
      <c r="C232">
        <v>2.9095009013902384</v>
      </c>
    </row>
    <row r="233" spans="1:3" ht="12.75">
      <c r="A233" s="21">
        <v>31958</v>
      </c>
      <c r="B233" s="22">
        <v>108.91601070822381</v>
      </c>
      <c r="C233">
        <v>5.836691223086521</v>
      </c>
    </row>
    <row r="234" spans="1:3" ht="12.75">
      <c r="A234" s="23">
        <v>32050</v>
      </c>
      <c r="B234" s="22">
        <v>114.71090416669145</v>
      </c>
      <c r="C234">
        <v>5.320515708192475</v>
      </c>
    </row>
    <row r="235" spans="1:3" ht="12.75">
      <c r="A235" s="21">
        <v>32142</v>
      </c>
      <c r="B235" s="22">
        <v>122.40835687377431</v>
      </c>
      <c r="C235">
        <v>6.710306019292944</v>
      </c>
    </row>
    <row r="236" spans="1:3" ht="12.75">
      <c r="A236" s="23">
        <v>32233</v>
      </c>
      <c r="B236" s="22">
        <v>128.90886854961806</v>
      </c>
      <c r="C236">
        <v>5.310512976288861</v>
      </c>
    </row>
    <row r="237" spans="1:3" ht="12.75">
      <c r="A237" s="21">
        <v>32324</v>
      </c>
      <c r="B237" s="22">
        <v>140.30061325013637</v>
      </c>
      <c r="C237">
        <v>8.837052740194927</v>
      </c>
    </row>
    <row r="238" spans="1:3" ht="12.75">
      <c r="A238" s="23">
        <v>32416</v>
      </c>
      <c r="B238" s="22">
        <v>153.58191129606183</v>
      </c>
      <c r="C238">
        <v>9.466315034736716</v>
      </c>
    </row>
    <row r="239" spans="1:3" ht="12.75">
      <c r="A239" s="21">
        <v>32508</v>
      </c>
      <c r="B239" s="22">
        <v>163.86549908488223</v>
      </c>
      <c r="C239">
        <v>6.695832668078072</v>
      </c>
    </row>
    <row r="240" spans="1:3" ht="12.75">
      <c r="A240" s="23">
        <v>32598</v>
      </c>
      <c r="B240" s="22">
        <v>173.2818458705317</v>
      </c>
      <c r="C240">
        <v>5.746387640007011</v>
      </c>
    </row>
    <row r="241" spans="1:3" ht="12.75">
      <c r="A241" s="21">
        <v>32689</v>
      </c>
      <c r="B241" s="22">
        <v>182.30246784207762</v>
      </c>
      <c r="C241">
        <v>5.205751315856655</v>
      </c>
    </row>
    <row r="242" spans="1:3" ht="12.75">
      <c r="A242" s="23">
        <v>32781</v>
      </c>
      <c r="B242" s="22">
        <v>191.2566454786745</v>
      </c>
      <c r="C242">
        <v>4.91171498805687</v>
      </c>
    </row>
    <row r="243" spans="1:3" ht="12.75">
      <c r="A243" s="21">
        <v>32873</v>
      </c>
      <c r="B243" s="22">
        <v>189.11699420124282</v>
      </c>
      <c r="C243">
        <v>-1.1187330364791248</v>
      </c>
    </row>
    <row r="244" spans="1:3" ht="12.75">
      <c r="A244" s="23">
        <v>32963</v>
      </c>
      <c r="B244" s="22">
        <v>187.50469255397212</v>
      </c>
      <c r="C244">
        <v>-0.852541916753935</v>
      </c>
    </row>
    <row r="245" spans="1:3" ht="12.75">
      <c r="A245" s="21">
        <v>33054</v>
      </c>
      <c r="B245" s="22">
        <v>183.18563179990736</v>
      </c>
      <c r="C245">
        <v>-2.303441420710872</v>
      </c>
    </row>
    <row r="246" spans="1:3" ht="12.75">
      <c r="A246" s="23">
        <v>33146</v>
      </c>
      <c r="B246" s="22">
        <v>174.38435735583516</v>
      </c>
      <c r="C246">
        <v>-4.804565924518456</v>
      </c>
    </row>
    <row r="247" spans="1:3" ht="12.75">
      <c r="A247" s="21">
        <v>33238</v>
      </c>
      <c r="B247" s="22">
        <v>173.00499453211265</v>
      </c>
      <c r="C247">
        <v>-0.7909899974043566</v>
      </c>
    </row>
    <row r="248" spans="1:3" ht="12.75">
      <c r="A248" s="23">
        <v>33328</v>
      </c>
      <c r="B248" s="22">
        <v>167.52935127027115</v>
      </c>
      <c r="C248">
        <v>-3.16502033750542</v>
      </c>
    </row>
    <row r="249" spans="1:3" ht="12.75">
      <c r="A249" s="21">
        <v>33419</v>
      </c>
      <c r="B249" s="22">
        <v>168.07809407471527</v>
      </c>
      <c r="C249">
        <v>0.32755024733477356</v>
      </c>
    </row>
    <row r="250" spans="1:3" ht="12.75">
      <c r="A250" s="23">
        <v>33511</v>
      </c>
      <c r="B250" s="22">
        <v>168.3088489839837</v>
      </c>
      <c r="C250">
        <v>0.1372902938593823</v>
      </c>
    </row>
    <row r="251" spans="1:3" ht="12.75">
      <c r="A251" s="21">
        <v>33603</v>
      </c>
      <c r="B251" s="22">
        <v>170.70710164799286</v>
      </c>
      <c r="C251">
        <v>1.424911808551066</v>
      </c>
    </row>
    <row r="252" spans="1:3" ht="12.75">
      <c r="A252" s="23">
        <v>33694</v>
      </c>
      <c r="B252" s="22">
        <v>172.71637546258353</v>
      </c>
      <c r="C252">
        <v>1.1770300094098518</v>
      </c>
    </row>
    <row r="253" spans="1:3" ht="12.75">
      <c r="A253" s="21">
        <v>33785</v>
      </c>
      <c r="B253" s="22">
        <v>172.87859024884278</v>
      </c>
      <c r="C253">
        <v>0.09391974896693078</v>
      </c>
    </row>
    <row r="254" spans="1:3" ht="12.75">
      <c r="A254" s="23">
        <v>33877</v>
      </c>
      <c r="B254" s="22">
        <v>172.00278494367373</v>
      </c>
      <c r="C254">
        <v>-0.5066013691506943</v>
      </c>
    </row>
    <row r="255" spans="1:3" ht="12.75">
      <c r="A255" s="21">
        <v>33969</v>
      </c>
      <c r="B255" s="22">
        <v>173.61442519599598</v>
      </c>
      <c r="C255">
        <v>0.9369849754758519</v>
      </c>
    </row>
    <row r="256" spans="1:3" ht="12.75">
      <c r="A256" s="23">
        <v>34059</v>
      </c>
      <c r="B256" s="22">
        <v>172.12739156105127</v>
      </c>
      <c r="C256">
        <v>-0.8565150236024333</v>
      </c>
    </row>
    <row r="257" spans="1:3" ht="12.75">
      <c r="A257" s="21">
        <v>34150</v>
      </c>
      <c r="B257" s="22">
        <v>179.6866105222515</v>
      </c>
      <c r="C257">
        <v>4.39164208127738</v>
      </c>
    </row>
    <row r="258" spans="1:3" ht="12.75">
      <c r="A258" s="23">
        <v>34242</v>
      </c>
      <c r="B258" s="22">
        <v>189.6046364246829</v>
      </c>
      <c r="C258">
        <v>5.519624346858709</v>
      </c>
    </row>
    <row r="259" spans="1:3" ht="12.75">
      <c r="A259" s="21">
        <v>34334</v>
      </c>
      <c r="B259" s="22">
        <v>209.6772963274362</v>
      </c>
      <c r="C259">
        <v>10.586587058870167</v>
      </c>
    </row>
    <row r="260" spans="1:3" ht="12.75">
      <c r="A260" s="23">
        <v>34424</v>
      </c>
      <c r="B260" s="22">
        <v>224.761680684351</v>
      </c>
      <c r="C260">
        <v>7.194095222097263</v>
      </c>
    </row>
    <row r="261" spans="1:3" ht="12.75">
      <c r="A261" s="21">
        <v>34515</v>
      </c>
      <c r="B261" s="22">
        <v>232.01942107266134</v>
      </c>
      <c r="C261">
        <v>3.229082629304103</v>
      </c>
    </row>
    <row r="262" spans="1:3" ht="12.75">
      <c r="A262" s="23">
        <v>34607</v>
      </c>
      <c r="B262" s="22">
        <v>234.24459689032528</v>
      </c>
      <c r="C262">
        <v>0.9590472243127701</v>
      </c>
    </row>
    <row r="263" spans="1:3" ht="12.75">
      <c r="A263" s="21">
        <v>34699</v>
      </c>
      <c r="B263" s="22">
        <v>236.4140703652065</v>
      </c>
      <c r="C263">
        <v>0.9261573174714322</v>
      </c>
    </row>
    <row r="264" spans="1:3" ht="12.75">
      <c r="A264" s="23">
        <v>34789</v>
      </c>
      <c r="B264" s="22">
        <v>237.6108174185196</v>
      </c>
      <c r="C264">
        <v>0.5062080490659371</v>
      </c>
    </row>
    <row r="265" spans="1:3" ht="12.75">
      <c r="A265" s="21">
        <v>34880</v>
      </c>
      <c r="B265" s="22">
        <v>238.70802845373856</v>
      </c>
      <c r="C265">
        <v>0.4617681329240009</v>
      </c>
    </row>
    <row r="266" spans="1:3" ht="12.75">
      <c r="A266" s="23">
        <v>34972</v>
      </c>
      <c r="B266" s="22">
        <v>236.99401694720117</v>
      </c>
      <c r="C266">
        <v>-0.7180368074086618</v>
      </c>
    </row>
    <row r="267" spans="1:3" ht="12.75">
      <c r="A267" s="21">
        <v>35064</v>
      </c>
      <c r="B267" s="22">
        <v>238.98477693751104</v>
      </c>
      <c r="C267">
        <v>0.8400043241401312</v>
      </c>
    </row>
    <row r="268" spans="1:3" ht="12.75">
      <c r="A268" s="23">
        <v>35155</v>
      </c>
      <c r="B268" s="22">
        <v>243.79546642333912</v>
      </c>
      <c r="C268">
        <v>2.0129690047521187</v>
      </c>
    </row>
    <row r="269" spans="1:3" ht="12.75">
      <c r="A269" s="21">
        <v>35246</v>
      </c>
      <c r="B269" s="22">
        <v>248.8230820224863</v>
      </c>
      <c r="C269">
        <v>2.062226862913419</v>
      </c>
    </row>
    <row r="270" spans="1:3" ht="12.75">
      <c r="A270" s="23">
        <v>35338</v>
      </c>
      <c r="B270" s="22">
        <v>254.29561342055607</v>
      </c>
      <c r="C270">
        <v>2.199366454907592</v>
      </c>
    </row>
    <row r="271" spans="1:3" ht="12.75">
      <c r="A271" s="21">
        <v>35430</v>
      </c>
      <c r="B271" s="22">
        <v>261.2526755344315</v>
      </c>
      <c r="C271">
        <v>2.7358168000994</v>
      </c>
    </row>
    <row r="272" spans="1:3" ht="12.75">
      <c r="A272" s="23">
        <v>35520</v>
      </c>
      <c r="B272" s="22">
        <v>269.9284455695938</v>
      </c>
      <c r="C272">
        <v>3.3208349033803097</v>
      </c>
    </row>
    <row r="273" spans="1:3" ht="12.75">
      <c r="A273" s="21">
        <v>35611</v>
      </c>
      <c r="B273" s="22">
        <v>278.6969343889903</v>
      </c>
      <c r="C273">
        <v>3.2484493440080087</v>
      </c>
    </row>
    <row r="274" spans="1:3" ht="12.75">
      <c r="A274" s="23">
        <v>35703</v>
      </c>
      <c r="B274" s="22">
        <v>287.8752075551348</v>
      </c>
      <c r="C274">
        <v>3.2932809922243234</v>
      </c>
    </row>
    <row r="275" spans="1:3" ht="12.75">
      <c r="A275" s="21">
        <v>35795</v>
      </c>
      <c r="B275" s="22">
        <v>300.95433142823157</v>
      </c>
      <c r="C275">
        <v>4.543331113566573</v>
      </c>
    </row>
    <row r="276" spans="1:3" ht="12.75">
      <c r="A276" s="23">
        <v>35885</v>
      </c>
      <c r="B276" s="22">
        <v>309.7411490021088</v>
      </c>
      <c r="C276">
        <v>2.9196514740883917</v>
      </c>
    </row>
    <row r="277" spans="1:3" ht="12.75">
      <c r="A277" s="21">
        <v>35976</v>
      </c>
      <c r="B277" s="22">
        <v>321.9560712793662</v>
      </c>
      <c r="C277">
        <v>3.9435904194874194</v>
      </c>
    </row>
    <row r="278" spans="1:3" ht="12.75">
      <c r="A278" s="23">
        <v>36068</v>
      </c>
      <c r="B278" s="22">
        <v>330.33547357903797</v>
      </c>
      <c r="C278">
        <v>2.6026539168447105</v>
      </c>
    </row>
    <row r="279" spans="1:3" ht="12.75">
      <c r="A279" s="21">
        <v>36160</v>
      </c>
      <c r="B279" s="22">
        <v>335.7016087319904</v>
      </c>
      <c r="C279">
        <v>1.624450167223257</v>
      </c>
    </row>
    <row r="280" spans="1:3" ht="12.75">
      <c r="A280" s="23">
        <v>36250</v>
      </c>
      <c r="B280" s="22">
        <v>342.86170409399097</v>
      </c>
      <c r="C280">
        <v>2.132874903115778</v>
      </c>
    </row>
    <row r="281" spans="1:3" ht="12.75">
      <c r="A281" s="21">
        <v>36341</v>
      </c>
      <c r="B281" s="22">
        <v>355.792270767234</v>
      </c>
      <c r="C281">
        <v>3.7713651069348764</v>
      </c>
    </row>
    <row r="282" spans="1:3" ht="12.75">
      <c r="A282" s="23">
        <v>36433</v>
      </c>
      <c r="B282" s="22">
        <v>367.2066617344263</v>
      </c>
      <c r="C282">
        <v>3.208161588945746</v>
      </c>
    </row>
    <row r="283" spans="1:3" ht="12.75">
      <c r="A283" s="21">
        <v>36525</v>
      </c>
      <c r="B283" s="22">
        <v>380.8649619060261</v>
      </c>
      <c r="C283">
        <v>3.71951317742647</v>
      </c>
    </row>
    <row r="284" spans="1:3" ht="12.75">
      <c r="A284" s="23">
        <v>36616</v>
      </c>
      <c r="B284" s="22">
        <v>391.4387300550186</v>
      </c>
      <c r="C284">
        <v>2.776251219349879</v>
      </c>
    </row>
    <row r="285" spans="1:3" ht="12.75">
      <c r="A285" s="21">
        <v>36707</v>
      </c>
      <c r="B285" s="22">
        <v>401.3492399330116</v>
      </c>
      <c r="C285">
        <v>2.5318163781596237</v>
      </c>
    </row>
    <row r="286" spans="1:3" ht="12.75">
      <c r="A286" s="23">
        <v>36799</v>
      </c>
      <c r="B286" s="22">
        <v>407.9971569085242</v>
      </c>
      <c r="C286">
        <v>1.6563920680707334</v>
      </c>
    </row>
    <row r="287" spans="1:3" ht="12.75">
      <c r="A287" s="21">
        <v>36891</v>
      </c>
      <c r="B287" s="22">
        <v>411.59749577051474</v>
      </c>
      <c r="C287">
        <v>0.8824421447617636</v>
      </c>
    </row>
    <row r="288" spans="1:3" ht="12.75">
      <c r="A288" s="23">
        <v>36981</v>
      </c>
      <c r="B288" s="22">
        <v>415.2030858103352</v>
      </c>
      <c r="C288">
        <v>0.8759990225574166</v>
      </c>
    </row>
    <row r="289" spans="1:3" ht="12.75">
      <c r="A289" s="21">
        <v>37072</v>
      </c>
      <c r="B289" s="22">
        <v>422.1211243899403</v>
      </c>
      <c r="C289">
        <v>1.6661818796706251</v>
      </c>
    </row>
    <row r="290" spans="1:3" ht="12.75">
      <c r="A290" s="23">
        <v>37164</v>
      </c>
      <c r="B290">
        <v>427.48337513576564</v>
      </c>
      <c r="C290">
        <v>1.2703109216756214</v>
      </c>
    </row>
    <row r="291" spans="1:3" ht="12.75">
      <c r="A291" s="21">
        <v>37256</v>
      </c>
      <c r="B291">
        <v>434.4367849853308</v>
      </c>
      <c r="C291">
        <v>1.6265918756154685</v>
      </c>
    </row>
    <row r="292" spans="1:3" ht="12.75">
      <c r="A292" s="23">
        <v>37346</v>
      </c>
      <c r="B292">
        <v>442.4762098753302</v>
      </c>
      <c r="C292">
        <v>1.8505396338090563</v>
      </c>
    </row>
    <row r="293" spans="1:3" ht="12.75">
      <c r="A293" s="21">
        <v>37437</v>
      </c>
      <c r="B293">
        <v>453.30553250949623</v>
      </c>
      <c r="C293">
        <v>2.4474361315871107</v>
      </c>
    </row>
    <row r="294" spans="1:3" ht="12.75">
      <c r="A294" s="23">
        <v>37529</v>
      </c>
      <c r="B294">
        <v>466.53182439613806</v>
      </c>
      <c r="C294">
        <v>2.9177433183798174</v>
      </c>
    </row>
    <row r="295" spans="1:3" ht="12.75">
      <c r="A295" s="21">
        <v>37621</v>
      </c>
      <c r="B295">
        <v>477.27556019596517</v>
      </c>
      <c r="C295">
        <v>2.3028945160886716</v>
      </c>
    </row>
    <row r="296" spans="1:3" ht="12.75">
      <c r="A296" s="23">
        <v>37711</v>
      </c>
      <c r="B296">
        <v>485.85826691210764</v>
      </c>
      <c r="C296">
        <v>1.798270733288443</v>
      </c>
    </row>
    <row r="297" spans="1:3" ht="12.75">
      <c r="A297" s="21">
        <v>37802</v>
      </c>
      <c r="B297">
        <v>498.3499897622454</v>
      </c>
      <c r="C297">
        <v>2.5710631475984513</v>
      </c>
    </row>
    <row r="298" spans="1:3" ht="12.75">
      <c r="A298" s="23">
        <v>37894</v>
      </c>
      <c r="B298">
        <v>512.7731733280286</v>
      </c>
      <c r="C298">
        <v>2.8941875914684667</v>
      </c>
    </row>
    <row r="299" spans="1:3" ht="12.75">
      <c r="A299" s="23">
        <v>37986</v>
      </c>
      <c r="B299">
        <v>531.5672332746597</v>
      </c>
      <c r="C299">
        <v>3.6651800297298642</v>
      </c>
    </row>
    <row r="300" spans="1:3" ht="12.75">
      <c r="A300" s="23">
        <v>38077</v>
      </c>
      <c r="B300">
        <v>554.1417769060905</v>
      </c>
      <c r="C300">
        <v>4.24678991072549</v>
      </c>
    </row>
    <row r="301" spans="1:3" ht="12.75">
      <c r="A301" s="23">
        <v>38168</v>
      </c>
      <c r="B301">
        <v>582.2422896170979</v>
      </c>
      <c r="C301">
        <v>5.070996969024688</v>
      </c>
    </row>
    <row r="302" spans="1:3" ht="12.75">
      <c r="A302" s="21">
        <v>38260</v>
      </c>
      <c r="B302">
        <v>607.5594450692369</v>
      </c>
      <c r="C302">
        <v>4.348216524908977</v>
      </c>
    </row>
    <row r="303" spans="1:3" ht="12.75">
      <c r="A303" s="21">
        <v>38352</v>
      </c>
      <c r="B303">
        <v>634.5892047930039</v>
      </c>
      <c r="C303">
        <v>4.4489078300291585</v>
      </c>
    </row>
    <row r="420" ht="12.75">
      <c r="B420" t="s">
        <v>31</v>
      </c>
    </row>
    <row r="421" spans="1:36" s="27" customFormat="1" ht="63.75">
      <c r="A421" s="26"/>
      <c r="B421" s="27" t="s">
        <v>32</v>
      </c>
      <c r="C421" s="27" t="s">
        <v>33</v>
      </c>
      <c r="D421" s="27" t="s">
        <v>34</v>
      </c>
      <c r="E421" s="27" t="s">
        <v>35</v>
      </c>
      <c r="F421" s="27" t="s">
        <v>36</v>
      </c>
      <c r="G421" s="27" t="s">
        <v>37</v>
      </c>
      <c r="H421" s="27" t="s">
        <v>38</v>
      </c>
      <c r="I421" s="27" t="s">
        <v>39</v>
      </c>
      <c r="J421" s="27" t="s">
        <v>40</v>
      </c>
      <c r="K421" s="27" t="s">
        <v>41</v>
      </c>
      <c r="L421" s="27" t="s">
        <v>42</v>
      </c>
      <c r="M421" s="27" t="s">
        <v>43</v>
      </c>
      <c r="N421" s="27" t="s">
        <v>33</v>
      </c>
      <c r="O421" s="27" t="s">
        <v>34</v>
      </c>
      <c r="P421" s="27" t="s">
        <v>44</v>
      </c>
      <c r="Q421" s="27" t="s">
        <v>45</v>
      </c>
      <c r="R421" s="27" t="s">
        <v>36</v>
      </c>
      <c r="S421" s="27" t="s">
        <v>46</v>
      </c>
      <c r="T421" s="27" t="s">
        <v>47</v>
      </c>
      <c r="U421" s="27" t="s">
        <v>44</v>
      </c>
      <c r="V421" s="27" t="s">
        <v>45</v>
      </c>
      <c r="W421" s="27" t="s">
        <v>36</v>
      </c>
      <c r="X421" s="27" t="s">
        <v>48</v>
      </c>
      <c r="Y421" s="27" t="s">
        <v>49</v>
      </c>
      <c r="Z421" s="27" t="s">
        <v>50</v>
      </c>
      <c r="AA421" s="27" t="s">
        <v>51</v>
      </c>
      <c r="AB421" s="27" t="s">
        <v>52</v>
      </c>
      <c r="AC421" s="27" t="s">
        <v>53</v>
      </c>
      <c r="AD421" s="27" t="s">
        <v>54</v>
      </c>
      <c r="AE421" s="27" t="s">
        <v>55</v>
      </c>
      <c r="AG421" s="27" t="s">
        <v>56</v>
      </c>
      <c r="AH421" s="27" t="s">
        <v>57</v>
      </c>
      <c r="AI421" s="27" t="s">
        <v>55</v>
      </c>
      <c r="AJ421" s="27" t="s">
        <v>30</v>
      </c>
    </row>
    <row r="422" spans="1:36" ht="12.75">
      <c r="A422">
        <v>1981</v>
      </c>
      <c r="B422">
        <v>18.72748</v>
      </c>
      <c r="C422">
        <v>9.90246</v>
      </c>
      <c r="D422">
        <v>20.58616</v>
      </c>
      <c r="E422">
        <v>21.99174</v>
      </c>
      <c r="F422">
        <v>20.4911</v>
      </c>
      <c r="G422">
        <v>15.32801</v>
      </c>
      <c r="H422">
        <v>14.21344</v>
      </c>
      <c r="I422">
        <v>13.1918</v>
      </c>
      <c r="J422">
        <v>15.0587</v>
      </c>
      <c r="K422">
        <v>15.48731</v>
      </c>
      <c r="L422">
        <v>16.50784</v>
      </c>
      <c r="M422">
        <v>15.01653</v>
      </c>
      <c r="N422">
        <v>15.97323</v>
      </c>
      <c r="O422">
        <v>13.26073</v>
      </c>
      <c r="P422">
        <v>15.213</v>
      </c>
      <c r="Q422">
        <v>15.88562</v>
      </c>
      <c r="R422">
        <v>12.57465</v>
      </c>
      <c r="S422">
        <v>11.96137</v>
      </c>
      <c r="T422">
        <v>12.42394</v>
      </c>
      <c r="U422">
        <v>13.0011</v>
      </c>
      <c r="V422">
        <v>14.5845</v>
      </c>
      <c r="W422">
        <v>9.43338</v>
      </c>
      <c r="X422">
        <v>14.76038</v>
      </c>
      <c r="Y422">
        <v>15.32801</v>
      </c>
      <c r="Z422">
        <v>14.21344</v>
      </c>
      <c r="AA422">
        <v>16.25618</v>
      </c>
      <c r="AB422">
        <v>15.7695</v>
      </c>
      <c r="AC422">
        <v>14.26473</v>
      </c>
      <c r="AD422">
        <v>12.59236</v>
      </c>
      <c r="AE422">
        <v>12.05317</v>
      </c>
      <c r="AF422">
        <v>9.55604</v>
      </c>
      <c r="AG422">
        <v>17.3134</v>
      </c>
      <c r="AH422">
        <v>15.02231</v>
      </c>
      <c r="AI422">
        <v>12.05317</v>
      </c>
      <c r="AJ422">
        <v>14.97569</v>
      </c>
    </row>
    <row r="423" spans="1:36" ht="12.75">
      <c r="A423">
        <v>1982</v>
      </c>
      <c r="B423">
        <v>10.30597</v>
      </c>
      <c r="C423">
        <v>1.51538</v>
      </c>
      <c r="D423">
        <v>11.34976</v>
      </c>
      <c r="E423">
        <v>13.8541</v>
      </c>
      <c r="F423">
        <v>11.65962</v>
      </c>
      <c r="G423">
        <v>10.46921</v>
      </c>
      <c r="H423">
        <v>11.84397</v>
      </c>
      <c r="I423">
        <v>14.09365</v>
      </c>
      <c r="J423">
        <v>10.67329</v>
      </c>
      <c r="K423">
        <v>9.93948</v>
      </c>
      <c r="L423">
        <v>10.71565</v>
      </c>
      <c r="M423">
        <v>6.72341</v>
      </c>
      <c r="N423">
        <v>6.61543</v>
      </c>
      <c r="O423">
        <v>4.24552</v>
      </c>
      <c r="P423">
        <v>7.70036</v>
      </c>
      <c r="Q423">
        <v>8.77499</v>
      </c>
      <c r="R423">
        <v>8.01873</v>
      </c>
      <c r="S423">
        <v>5.74452</v>
      </c>
      <c r="T423">
        <v>5.90711</v>
      </c>
      <c r="U423">
        <v>8.52617</v>
      </c>
      <c r="V423">
        <v>4.95311</v>
      </c>
      <c r="W423">
        <v>4.86314</v>
      </c>
      <c r="X423">
        <v>4.50989</v>
      </c>
      <c r="Y423">
        <v>10.46921</v>
      </c>
      <c r="Z423">
        <v>11.84397</v>
      </c>
      <c r="AA423">
        <v>9.91058</v>
      </c>
      <c r="AB423">
        <v>4.23934</v>
      </c>
      <c r="AC423">
        <v>6.11607</v>
      </c>
      <c r="AD423">
        <v>8.05212</v>
      </c>
      <c r="AE423">
        <v>5.70321</v>
      </c>
      <c r="AF423">
        <v>4.91739</v>
      </c>
      <c r="AG423">
        <v>10.38065</v>
      </c>
      <c r="AH423">
        <v>6.73289</v>
      </c>
      <c r="AI423">
        <v>5.70321</v>
      </c>
      <c r="AJ423">
        <v>7.51501</v>
      </c>
    </row>
    <row r="424" spans="1:36" ht="12.75">
      <c r="A424">
        <v>1983</v>
      </c>
      <c r="B424">
        <v>12.56022</v>
      </c>
      <c r="C424">
        <v>9.97805</v>
      </c>
      <c r="D424">
        <v>13.63783</v>
      </c>
      <c r="E424">
        <v>14.5904</v>
      </c>
      <c r="F424">
        <v>11.79659</v>
      </c>
      <c r="G424">
        <v>12.14716</v>
      </c>
      <c r="H424">
        <v>8.34692</v>
      </c>
      <c r="I424">
        <v>7.67648</v>
      </c>
      <c r="J424">
        <v>8.74135</v>
      </c>
      <c r="K424">
        <v>12.37061</v>
      </c>
      <c r="L424">
        <v>10.41232</v>
      </c>
      <c r="M424">
        <v>5.50649</v>
      </c>
      <c r="N424">
        <v>5.14758</v>
      </c>
      <c r="O424">
        <v>4.71934</v>
      </c>
      <c r="P424">
        <v>5.75023</v>
      </c>
      <c r="Q424">
        <v>7.12522</v>
      </c>
      <c r="R424">
        <v>6.84181</v>
      </c>
      <c r="S424">
        <v>6.08021</v>
      </c>
      <c r="T424">
        <v>6.8119</v>
      </c>
      <c r="U424">
        <v>8.29078</v>
      </c>
      <c r="V424">
        <v>6.42564</v>
      </c>
      <c r="W424">
        <v>4.14255</v>
      </c>
      <c r="X424">
        <v>5.88831</v>
      </c>
      <c r="Y424">
        <v>12.14716</v>
      </c>
      <c r="Z424">
        <v>8.34692</v>
      </c>
      <c r="AA424">
        <v>6.30364</v>
      </c>
      <c r="AB424">
        <v>4.19561</v>
      </c>
      <c r="AC424">
        <v>5.54811</v>
      </c>
      <c r="AD424">
        <v>6.87707</v>
      </c>
      <c r="AE424">
        <v>6.07342</v>
      </c>
      <c r="AF424">
        <v>4.24987</v>
      </c>
      <c r="AG424">
        <v>12.26833</v>
      </c>
      <c r="AH424">
        <v>5.52064</v>
      </c>
      <c r="AI424">
        <v>6.07342</v>
      </c>
      <c r="AJ424">
        <v>7.57227</v>
      </c>
    </row>
    <row r="425" spans="1:36" ht="12.75">
      <c r="A425">
        <v>1984</v>
      </c>
      <c r="B425">
        <v>14.33656</v>
      </c>
      <c r="C425">
        <v>14.6334</v>
      </c>
      <c r="D425">
        <v>13.35424</v>
      </c>
      <c r="E425">
        <v>14.80742</v>
      </c>
      <c r="F425">
        <v>14.26803</v>
      </c>
      <c r="G425">
        <v>13.82191</v>
      </c>
      <c r="H425">
        <v>12.73188</v>
      </c>
      <c r="I425">
        <v>14.45102</v>
      </c>
      <c r="J425">
        <v>11.67997</v>
      </c>
      <c r="K425">
        <v>10.87394</v>
      </c>
      <c r="L425">
        <v>11.84511</v>
      </c>
      <c r="M425">
        <v>6.91907</v>
      </c>
      <c r="N425">
        <v>8.10076</v>
      </c>
      <c r="O425">
        <v>1.36076</v>
      </c>
      <c r="P425">
        <v>7.5107</v>
      </c>
      <c r="Q425">
        <v>7.82726</v>
      </c>
      <c r="R425">
        <v>6.26544</v>
      </c>
      <c r="S425">
        <v>5.9037</v>
      </c>
      <c r="T425">
        <v>6.62498</v>
      </c>
      <c r="U425">
        <v>8.43545</v>
      </c>
      <c r="V425">
        <v>6.71182</v>
      </c>
      <c r="W425">
        <v>3.44236</v>
      </c>
      <c r="X425">
        <v>8.38354</v>
      </c>
      <c r="Y425">
        <v>13.82191</v>
      </c>
      <c r="Z425">
        <v>12.73188</v>
      </c>
      <c r="AA425">
        <v>9.50657</v>
      </c>
      <c r="AB425">
        <v>6.89884</v>
      </c>
      <c r="AC425">
        <v>4.52626</v>
      </c>
      <c r="AD425">
        <v>6.30587</v>
      </c>
      <c r="AE425">
        <v>5.9985</v>
      </c>
      <c r="AF425">
        <v>3.51975</v>
      </c>
      <c r="AG425">
        <v>13.79093</v>
      </c>
      <c r="AH425">
        <v>6.9323</v>
      </c>
      <c r="AI425">
        <v>5.9985</v>
      </c>
      <c r="AJ425">
        <v>8.82865</v>
      </c>
    </row>
    <row r="426" spans="1:36" ht="12.75">
      <c r="A426">
        <v>1985</v>
      </c>
      <c r="B426">
        <v>13.55226</v>
      </c>
      <c r="C426">
        <v>16.82727</v>
      </c>
      <c r="D426">
        <v>12.49771</v>
      </c>
      <c r="E426">
        <v>14.08386</v>
      </c>
      <c r="F426">
        <v>12.45252</v>
      </c>
      <c r="G426">
        <v>12.10517</v>
      </c>
      <c r="H426">
        <v>12.39337</v>
      </c>
      <c r="I426">
        <v>14.79952</v>
      </c>
      <c r="J426">
        <v>10.23725</v>
      </c>
      <c r="K426">
        <v>9.11478</v>
      </c>
      <c r="L426">
        <v>9.53023</v>
      </c>
      <c r="M426">
        <v>7.71852</v>
      </c>
      <c r="N426">
        <v>10.76232</v>
      </c>
      <c r="O426">
        <v>-0.26957</v>
      </c>
      <c r="P426">
        <v>4.82826</v>
      </c>
      <c r="Q426">
        <v>5.50958</v>
      </c>
      <c r="R426">
        <v>4.81623</v>
      </c>
      <c r="S426">
        <v>3.61063</v>
      </c>
      <c r="T426">
        <v>4.25731</v>
      </c>
      <c r="U426">
        <v>4.51836</v>
      </c>
      <c r="V426">
        <v>1.99148</v>
      </c>
      <c r="W426">
        <v>3.58971</v>
      </c>
      <c r="X426">
        <v>1.66191</v>
      </c>
      <c r="Y426">
        <v>12.10517</v>
      </c>
      <c r="Z426">
        <v>12.39337</v>
      </c>
      <c r="AA426">
        <v>11.37194</v>
      </c>
      <c r="AB426">
        <v>10.22356</v>
      </c>
      <c r="AC426">
        <v>2.46225</v>
      </c>
      <c r="AD426">
        <v>4.82696</v>
      </c>
      <c r="AE426">
        <v>3.53486</v>
      </c>
      <c r="AF426">
        <v>3.80119</v>
      </c>
      <c r="AG426">
        <v>12.66961</v>
      </c>
      <c r="AH426">
        <v>7.7173</v>
      </c>
      <c r="AI426">
        <v>3.53486</v>
      </c>
      <c r="AJ426">
        <v>8.30048</v>
      </c>
    </row>
    <row r="427" spans="1:36" ht="12.75">
      <c r="A427">
        <v>1986</v>
      </c>
      <c r="B427">
        <v>12.4734</v>
      </c>
      <c r="C427">
        <v>17.11553</v>
      </c>
      <c r="D427">
        <v>14.33993</v>
      </c>
      <c r="E427">
        <v>11.63973</v>
      </c>
      <c r="F427">
        <v>10.92635</v>
      </c>
      <c r="G427">
        <v>10.29745</v>
      </c>
      <c r="H427">
        <v>15.22803</v>
      </c>
      <c r="I427">
        <v>19.38814</v>
      </c>
      <c r="J427">
        <v>12.32273</v>
      </c>
      <c r="K427">
        <v>11.06912</v>
      </c>
      <c r="L427">
        <v>11.50116</v>
      </c>
      <c r="M427">
        <v>12.1423</v>
      </c>
      <c r="N427">
        <v>18.6429</v>
      </c>
      <c r="O427">
        <v>0.95274</v>
      </c>
      <c r="P427">
        <v>1.17899</v>
      </c>
      <c r="Q427">
        <v>1.69959</v>
      </c>
      <c r="R427">
        <v>3.63442</v>
      </c>
      <c r="S427">
        <v>9.1513</v>
      </c>
      <c r="T427">
        <v>10.08347</v>
      </c>
      <c r="U427">
        <v>9.00349</v>
      </c>
      <c r="V427">
        <v>9.54492</v>
      </c>
      <c r="W427">
        <v>8.06748</v>
      </c>
      <c r="X427">
        <v>10.89053</v>
      </c>
      <c r="Y427">
        <v>10.29745</v>
      </c>
      <c r="Z427">
        <v>15.22803</v>
      </c>
      <c r="AA427">
        <v>21.70016</v>
      </c>
      <c r="AB427">
        <v>15.58292</v>
      </c>
      <c r="AC427">
        <v>1.28278</v>
      </c>
      <c r="AD427">
        <v>3.64304</v>
      </c>
      <c r="AE427">
        <v>9.24032</v>
      </c>
      <c r="AF427">
        <v>8.11983</v>
      </c>
      <c r="AG427">
        <v>11.7089</v>
      </c>
      <c r="AH427">
        <v>12.13716</v>
      </c>
      <c r="AI427">
        <v>9.24032</v>
      </c>
      <c r="AJ427">
        <v>11.26952</v>
      </c>
    </row>
    <row r="428" spans="1:36" ht="12.75">
      <c r="A428">
        <v>1987</v>
      </c>
      <c r="B428">
        <v>22.00869</v>
      </c>
      <c r="C428">
        <v>32.92079</v>
      </c>
      <c r="D428">
        <v>23.34876</v>
      </c>
      <c r="E428">
        <v>19.66765</v>
      </c>
      <c r="F428">
        <v>18.54982</v>
      </c>
      <c r="G428">
        <v>20.05574</v>
      </c>
      <c r="H428">
        <v>18.67318</v>
      </c>
      <c r="I428">
        <v>19.08393</v>
      </c>
      <c r="J428">
        <v>18.36068</v>
      </c>
      <c r="K428">
        <v>17.27549</v>
      </c>
      <c r="L428">
        <v>14.98413</v>
      </c>
      <c r="M428">
        <v>30.78762</v>
      </c>
      <c r="N428">
        <v>39.72131</v>
      </c>
      <c r="O428">
        <v>16.78063</v>
      </c>
      <c r="P428">
        <v>13.21391</v>
      </c>
      <c r="Q428">
        <v>13.75865</v>
      </c>
      <c r="R428">
        <v>15.75315</v>
      </c>
      <c r="S428">
        <v>25.19931</v>
      </c>
      <c r="T428">
        <v>25.69097</v>
      </c>
      <c r="U428">
        <v>24.67635</v>
      </c>
      <c r="V428">
        <v>29.21464</v>
      </c>
      <c r="W428">
        <v>22.07091</v>
      </c>
      <c r="X428">
        <v>23.2427</v>
      </c>
      <c r="Y428">
        <v>20.05574</v>
      </c>
      <c r="Z428">
        <v>18.67318</v>
      </c>
      <c r="AA428">
        <v>40.99399</v>
      </c>
      <c r="AB428">
        <v>38.55378</v>
      </c>
      <c r="AC428">
        <v>14.98951</v>
      </c>
      <c r="AD428">
        <v>15.7877</v>
      </c>
      <c r="AE428">
        <v>25.09762</v>
      </c>
      <c r="AF428">
        <v>21.84346</v>
      </c>
      <c r="AG428">
        <v>20.83998</v>
      </c>
      <c r="AH428">
        <v>30.74473</v>
      </c>
      <c r="AI428">
        <v>25.09762</v>
      </c>
      <c r="AJ428">
        <v>25.97177</v>
      </c>
    </row>
    <row r="429" spans="1:36" ht="12.75">
      <c r="A429">
        <v>1988</v>
      </c>
      <c r="B429">
        <v>26.07995</v>
      </c>
      <c r="C429">
        <v>34.84027</v>
      </c>
      <c r="D429">
        <v>27.12898</v>
      </c>
      <c r="E429">
        <v>25.02677</v>
      </c>
      <c r="F429">
        <v>22.75828</v>
      </c>
      <c r="G429">
        <v>23.23426</v>
      </c>
      <c r="H429">
        <v>25.5641</v>
      </c>
      <c r="I429">
        <v>24.94524</v>
      </c>
      <c r="J429">
        <v>26.14309</v>
      </c>
      <c r="K429">
        <v>23.12036</v>
      </c>
      <c r="L429">
        <v>16.95493</v>
      </c>
      <c r="M429">
        <v>31.19474</v>
      </c>
      <c r="N429">
        <v>31.25977</v>
      </c>
      <c r="O429">
        <v>36.68243</v>
      </c>
      <c r="P429">
        <v>26.38789</v>
      </c>
      <c r="Q429">
        <v>29.24714</v>
      </c>
      <c r="R429">
        <v>30.40952</v>
      </c>
      <c r="S429">
        <v>39.57497</v>
      </c>
      <c r="T429">
        <v>40.73742</v>
      </c>
      <c r="U429">
        <v>35.2849</v>
      </c>
      <c r="V429">
        <v>44.21992</v>
      </c>
      <c r="W429">
        <v>38.82991</v>
      </c>
      <c r="X429">
        <v>34.63679</v>
      </c>
      <c r="Y429">
        <v>23.23426</v>
      </c>
      <c r="Z429">
        <v>25.5641</v>
      </c>
      <c r="AA429">
        <v>20.21245</v>
      </c>
      <c r="AB429">
        <v>42.87017</v>
      </c>
      <c r="AC429">
        <v>31.11942</v>
      </c>
      <c r="AD429">
        <v>30.39273</v>
      </c>
      <c r="AE429">
        <v>39.30866</v>
      </c>
      <c r="AF429">
        <v>38.21533</v>
      </c>
      <c r="AG429">
        <v>24.84829</v>
      </c>
      <c r="AH429">
        <v>31.13713</v>
      </c>
      <c r="AI429">
        <v>39.30866</v>
      </c>
      <c r="AJ429">
        <v>29.51232</v>
      </c>
    </row>
    <row r="430" spans="1:36" ht="12.75">
      <c r="A430">
        <v>1989</v>
      </c>
      <c r="B430">
        <v>9.09551</v>
      </c>
      <c r="C430">
        <v>10.75736</v>
      </c>
      <c r="D430">
        <v>7.71134</v>
      </c>
      <c r="E430">
        <v>7.52982</v>
      </c>
      <c r="F430">
        <v>9.78804</v>
      </c>
      <c r="G430">
        <v>11.8389</v>
      </c>
      <c r="H430">
        <v>9.86135</v>
      </c>
      <c r="I430">
        <v>9.36374</v>
      </c>
      <c r="J430">
        <v>10.34523</v>
      </c>
      <c r="K430">
        <v>6.95623</v>
      </c>
      <c r="L430">
        <v>10.64231</v>
      </c>
      <c r="M430">
        <v>16.51341</v>
      </c>
      <c r="N430">
        <v>13.27411</v>
      </c>
      <c r="O430">
        <v>20.15667</v>
      </c>
      <c r="P430">
        <v>15.14454</v>
      </c>
      <c r="Q430">
        <v>24.50598</v>
      </c>
      <c r="R430">
        <v>33.58936</v>
      </c>
      <c r="S430">
        <v>28.62045</v>
      </c>
      <c r="T430">
        <v>26.71687</v>
      </c>
      <c r="U430">
        <v>24.7246</v>
      </c>
      <c r="V430">
        <v>31.79567</v>
      </c>
      <c r="W430">
        <v>32.5761</v>
      </c>
      <c r="X430">
        <v>29.72022</v>
      </c>
      <c r="Y430">
        <v>11.8389</v>
      </c>
      <c r="Z430">
        <v>9.86135</v>
      </c>
      <c r="AA430">
        <v>5.75836</v>
      </c>
      <c r="AB430">
        <v>20.37859</v>
      </c>
      <c r="AC430">
        <v>18.83508</v>
      </c>
      <c r="AD430">
        <v>33.57683</v>
      </c>
      <c r="AE430">
        <v>28.68267</v>
      </c>
      <c r="AF430">
        <v>32.58197</v>
      </c>
      <c r="AG430">
        <v>9.85151</v>
      </c>
      <c r="AH430">
        <v>16.5423</v>
      </c>
      <c r="AI430">
        <v>28.68267</v>
      </c>
      <c r="AJ430">
        <v>15.38558</v>
      </c>
    </row>
    <row r="431" spans="1:36" ht="12.75">
      <c r="A431">
        <v>1990</v>
      </c>
      <c r="B431">
        <v>-8.74087</v>
      </c>
      <c r="C431">
        <v>-10.0999</v>
      </c>
      <c r="D431">
        <v>-10.12591</v>
      </c>
      <c r="E431">
        <v>-9.88439</v>
      </c>
      <c r="F431">
        <v>-7.02349</v>
      </c>
      <c r="G431">
        <v>-6.70689</v>
      </c>
      <c r="H431">
        <v>-12.78058</v>
      </c>
      <c r="I431">
        <v>-13.74637</v>
      </c>
      <c r="J431">
        <v>-11.51775</v>
      </c>
      <c r="K431">
        <v>-6.52124</v>
      </c>
      <c r="L431">
        <v>-5.41938</v>
      </c>
      <c r="M431">
        <v>-9.91099</v>
      </c>
      <c r="N431">
        <v>-12.14642</v>
      </c>
      <c r="O431">
        <v>-6.45319</v>
      </c>
      <c r="P431">
        <v>-10.77433</v>
      </c>
      <c r="Q431">
        <v>-8.04385</v>
      </c>
      <c r="R431">
        <v>-0.58374</v>
      </c>
      <c r="S431">
        <v>-3.8823</v>
      </c>
      <c r="T431">
        <v>-3.91203</v>
      </c>
      <c r="U431">
        <v>-8.70449</v>
      </c>
      <c r="V431">
        <v>-3.74129</v>
      </c>
      <c r="W431">
        <v>2.08983</v>
      </c>
      <c r="X431">
        <v>1.20939</v>
      </c>
      <c r="Y431">
        <v>-6.70689</v>
      </c>
      <c r="Z431">
        <v>-12.78058</v>
      </c>
      <c r="AA431">
        <v>-14.52339</v>
      </c>
      <c r="AB431">
        <v>-10.0971</v>
      </c>
      <c r="AC431">
        <v>-8.75026</v>
      </c>
      <c r="AD431">
        <v>-0.68038</v>
      </c>
      <c r="AE431">
        <v>-3.49798</v>
      </c>
      <c r="AF431">
        <v>2.28966</v>
      </c>
      <c r="AG431">
        <v>-8.2477</v>
      </c>
      <c r="AH431">
        <v>-9.90032</v>
      </c>
      <c r="AI431">
        <v>-3.49798</v>
      </c>
      <c r="AJ431">
        <v>-8.40933</v>
      </c>
    </row>
    <row r="432" spans="1:36" ht="12.75">
      <c r="A432">
        <v>1991</v>
      </c>
      <c r="B432">
        <v>1.28769</v>
      </c>
      <c r="C432">
        <v>-7.23878</v>
      </c>
      <c r="D432">
        <v>2.32038</v>
      </c>
      <c r="E432">
        <v>1.17092</v>
      </c>
      <c r="F432">
        <v>4.75678</v>
      </c>
      <c r="G432">
        <v>2.61618</v>
      </c>
      <c r="H432">
        <v>14.17786</v>
      </c>
      <c r="I432">
        <v>14.39764</v>
      </c>
      <c r="J432">
        <v>13.86524</v>
      </c>
      <c r="K432">
        <v>7.65107</v>
      </c>
      <c r="L432">
        <v>11.02529</v>
      </c>
      <c r="M432">
        <v>-11.30706</v>
      </c>
      <c r="N432">
        <v>-17.78141</v>
      </c>
      <c r="O432">
        <v>-4.49882</v>
      </c>
      <c r="P432">
        <v>-5.27533</v>
      </c>
      <c r="Q432">
        <v>0.00773</v>
      </c>
      <c r="R432">
        <v>4.33209</v>
      </c>
      <c r="S432">
        <v>8.70744</v>
      </c>
      <c r="T432">
        <v>7.52082</v>
      </c>
      <c r="U432">
        <v>6.73828</v>
      </c>
      <c r="V432">
        <v>7.31883</v>
      </c>
      <c r="W432">
        <v>13.54109</v>
      </c>
      <c r="X432">
        <v>13.47911</v>
      </c>
      <c r="Y432">
        <v>2.61618</v>
      </c>
      <c r="Z432">
        <v>14.17786</v>
      </c>
      <c r="AA432">
        <v>-18.017</v>
      </c>
      <c r="AB432">
        <v>-17.5893</v>
      </c>
      <c r="AC432">
        <v>-3.21804</v>
      </c>
      <c r="AD432">
        <v>4.10501</v>
      </c>
      <c r="AE432">
        <v>9.10657</v>
      </c>
      <c r="AF432">
        <v>13.98264</v>
      </c>
      <c r="AG432">
        <v>3.3591</v>
      </c>
      <c r="AH432">
        <v>-10.82544</v>
      </c>
      <c r="AI432">
        <v>9.10657</v>
      </c>
      <c r="AJ432">
        <v>-3.09637</v>
      </c>
    </row>
    <row r="433" spans="1:36" ht="12.75">
      <c r="A433">
        <v>1992</v>
      </c>
      <c r="B433">
        <v>0.59141</v>
      </c>
      <c r="C433">
        <v>-4.86239</v>
      </c>
      <c r="D433">
        <v>-0.38046</v>
      </c>
      <c r="E433">
        <v>-0.3038</v>
      </c>
      <c r="F433">
        <v>3.24341</v>
      </c>
      <c r="G433">
        <v>3.81917</v>
      </c>
      <c r="H433">
        <v>14.68338</v>
      </c>
      <c r="I433">
        <v>15.05172</v>
      </c>
      <c r="J433">
        <v>14.27013</v>
      </c>
      <c r="K433">
        <v>7.35045</v>
      </c>
      <c r="L433">
        <v>8.70851</v>
      </c>
      <c r="M433">
        <v>-7.15941</v>
      </c>
      <c r="N433">
        <v>-10.06418</v>
      </c>
      <c r="O433">
        <v>-8.14979</v>
      </c>
      <c r="P433">
        <v>-6.42542</v>
      </c>
      <c r="Q433">
        <v>-2.71553</v>
      </c>
      <c r="R433">
        <v>1.0581</v>
      </c>
      <c r="S433">
        <v>0.91367</v>
      </c>
      <c r="T433">
        <v>0.27177</v>
      </c>
      <c r="U433">
        <v>-2.32989</v>
      </c>
      <c r="V433">
        <v>-1.68205</v>
      </c>
      <c r="W433">
        <v>6.99849</v>
      </c>
      <c r="X433">
        <v>6.21602</v>
      </c>
      <c r="Y433">
        <v>3.81917</v>
      </c>
      <c r="Z433">
        <v>14.68338</v>
      </c>
      <c r="AA433">
        <v>-7.1769</v>
      </c>
      <c r="AB433">
        <v>-12.58882</v>
      </c>
      <c r="AC433">
        <v>-6.85676</v>
      </c>
      <c r="AD433">
        <v>1.23598</v>
      </c>
      <c r="AE433">
        <v>1.38874</v>
      </c>
      <c r="AF433">
        <v>7.03319</v>
      </c>
      <c r="AG433">
        <v>3.57037</v>
      </c>
      <c r="AH433">
        <v>-7.1859</v>
      </c>
      <c r="AI433">
        <v>1.38874</v>
      </c>
      <c r="AJ433">
        <v>-1.63817</v>
      </c>
    </row>
    <row r="434" spans="1:36" ht="12.75">
      <c r="A434">
        <v>1993</v>
      </c>
      <c r="B434">
        <v>19.23438</v>
      </c>
      <c r="C434">
        <v>18.75532</v>
      </c>
      <c r="D434">
        <v>16.33116</v>
      </c>
      <c r="E434">
        <v>17.48806</v>
      </c>
      <c r="F434">
        <v>21.0004</v>
      </c>
      <c r="G434">
        <v>17.22302</v>
      </c>
      <c r="H434">
        <v>35.43262</v>
      </c>
      <c r="I434">
        <v>36.46901</v>
      </c>
      <c r="J434">
        <v>33.85624</v>
      </c>
      <c r="K434">
        <v>23.10322</v>
      </c>
      <c r="L434">
        <v>28.05958</v>
      </c>
      <c r="M434">
        <v>19.45096</v>
      </c>
      <c r="N434">
        <v>20.28526</v>
      </c>
      <c r="O434">
        <v>16.90208</v>
      </c>
      <c r="P434">
        <v>20.18094</v>
      </c>
      <c r="Q434">
        <v>17.85745</v>
      </c>
      <c r="R434">
        <v>18.41872</v>
      </c>
      <c r="S434">
        <v>20.10382</v>
      </c>
      <c r="T434">
        <v>20.32676</v>
      </c>
      <c r="U434">
        <v>20.97196</v>
      </c>
      <c r="V434">
        <v>16.24142</v>
      </c>
      <c r="W434">
        <v>22.35685</v>
      </c>
      <c r="X434">
        <v>30.94759</v>
      </c>
      <c r="Y434">
        <v>17.22302</v>
      </c>
      <c r="Z434">
        <v>35.43262</v>
      </c>
      <c r="AA434">
        <v>20.56981</v>
      </c>
      <c r="AB434">
        <v>20.02092</v>
      </c>
      <c r="AC434">
        <v>18.03966</v>
      </c>
      <c r="AD434">
        <v>18.70133</v>
      </c>
      <c r="AE434">
        <v>21.23303</v>
      </c>
      <c r="AF434">
        <v>24.00962</v>
      </c>
      <c r="AG434">
        <v>20.74919</v>
      </c>
      <c r="AH434">
        <v>19.29772</v>
      </c>
      <c r="AI434">
        <v>21.23303</v>
      </c>
      <c r="AJ434">
        <v>20.18608</v>
      </c>
    </row>
    <row r="435" spans="1:36" ht="12.75">
      <c r="A435">
        <v>1994</v>
      </c>
      <c r="B435">
        <v>11.06237</v>
      </c>
      <c r="C435">
        <v>14.7501</v>
      </c>
      <c r="D435">
        <v>9.67443</v>
      </c>
      <c r="E435">
        <v>8.29013</v>
      </c>
      <c r="F435">
        <v>11.70474</v>
      </c>
      <c r="G435">
        <v>13.4251</v>
      </c>
      <c r="H435">
        <v>18.43242</v>
      </c>
      <c r="I435">
        <v>20.00885</v>
      </c>
      <c r="J435">
        <v>16.11802</v>
      </c>
      <c r="K435">
        <v>12.71334</v>
      </c>
      <c r="L435">
        <v>11.77982</v>
      </c>
      <c r="M435">
        <v>10.59778</v>
      </c>
      <c r="N435">
        <v>11.93179</v>
      </c>
      <c r="O435">
        <v>6.23024</v>
      </c>
      <c r="P435">
        <v>9.26485</v>
      </c>
      <c r="Q435">
        <v>6.75377</v>
      </c>
      <c r="R435">
        <v>11.19438</v>
      </c>
      <c r="S435">
        <v>11.63849</v>
      </c>
      <c r="T435">
        <v>9.68505</v>
      </c>
      <c r="U435">
        <v>10.54973</v>
      </c>
      <c r="V435">
        <v>11.36187</v>
      </c>
      <c r="W435">
        <v>14.03771</v>
      </c>
      <c r="X435">
        <v>12.56408</v>
      </c>
      <c r="Y435">
        <v>13.4251</v>
      </c>
      <c r="Z435">
        <v>18.43242</v>
      </c>
      <c r="AA435">
        <v>11.27009</v>
      </c>
      <c r="AB435">
        <v>12.60258</v>
      </c>
      <c r="AC435">
        <v>8.13564</v>
      </c>
      <c r="AD435">
        <v>11.64691</v>
      </c>
      <c r="AE435">
        <v>11.7572</v>
      </c>
      <c r="AF435">
        <v>14.13163</v>
      </c>
      <c r="AG435">
        <v>12.94014</v>
      </c>
      <c r="AH435">
        <v>10.6836</v>
      </c>
      <c r="AI435">
        <v>11.7572</v>
      </c>
      <c r="AJ435">
        <v>11.87258</v>
      </c>
    </row>
    <row r="436" spans="1:36" ht="12.75">
      <c r="A436">
        <v>1995</v>
      </c>
      <c r="B436">
        <v>1.43307</v>
      </c>
      <c r="C436">
        <v>5.61652</v>
      </c>
      <c r="D436">
        <v>0.71749</v>
      </c>
      <c r="E436">
        <v>-1.33363</v>
      </c>
      <c r="F436">
        <v>1.65639</v>
      </c>
      <c r="G436">
        <v>4.93112</v>
      </c>
      <c r="H436">
        <v>8.70766</v>
      </c>
      <c r="I436">
        <v>9.20887</v>
      </c>
      <c r="J436">
        <v>6.28242</v>
      </c>
      <c r="K436">
        <v>5.64323</v>
      </c>
      <c r="L436">
        <v>5.53614</v>
      </c>
      <c r="M436">
        <v>2.95282</v>
      </c>
      <c r="N436">
        <v>4.83714</v>
      </c>
      <c r="O436">
        <v>-1.40928</v>
      </c>
      <c r="P436">
        <v>2.11379</v>
      </c>
      <c r="Q436">
        <v>0.27093</v>
      </c>
      <c r="R436">
        <v>1.07922</v>
      </c>
      <c r="S436">
        <v>2.73302</v>
      </c>
      <c r="T436">
        <v>3.89586</v>
      </c>
      <c r="U436">
        <v>1.69527</v>
      </c>
      <c r="V436">
        <v>1.78872</v>
      </c>
      <c r="W436">
        <v>3.48085</v>
      </c>
      <c r="X436">
        <v>2.98063</v>
      </c>
      <c r="Y436">
        <v>4.93112</v>
      </c>
      <c r="Z436">
        <v>8.70766</v>
      </c>
      <c r="AA436">
        <v>5.09826</v>
      </c>
      <c r="AB436">
        <v>4.57342</v>
      </c>
      <c r="AC436">
        <v>1.20031</v>
      </c>
      <c r="AD436">
        <v>1.23227</v>
      </c>
      <c r="AE436">
        <v>2.77043</v>
      </c>
      <c r="AF436">
        <v>3.29963</v>
      </c>
      <c r="AG436">
        <v>4.06572</v>
      </c>
      <c r="AH436">
        <v>2.99979</v>
      </c>
      <c r="AI436">
        <v>2.77043</v>
      </c>
      <c r="AJ436">
        <v>3.58674</v>
      </c>
    </row>
    <row r="437" spans="1:36" ht="12.75">
      <c r="A437">
        <v>1996</v>
      </c>
      <c r="B437">
        <v>9.21299</v>
      </c>
      <c r="C437">
        <v>15.48142</v>
      </c>
      <c r="D437">
        <v>9.02132</v>
      </c>
      <c r="E437">
        <v>6.94295</v>
      </c>
      <c r="F437">
        <v>8.25925</v>
      </c>
      <c r="G437">
        <v>12.88045</v>
      </c>
      <c r="H437">
        <v>15.92549</v>
      </c>
      <c r="I437">
        <v>16.33351</v>
      </c>
      <c r="J437">
        <v>14.22097</v>
      </c>
      <c r="K437">
        <v>11.07473</v>
      </c>
      <c r="L437">
        <v>9.67942</v>
      </c>
      <c r="M437">
        <v>7.26046</v>
      </c>
      <c r="N437">
        <v>7.73477</v>
      </c>
      <c r="O437">
        <v>8.35707</v>
      </c>
      <c r="P437">
        <v>10.58669</v>
      </c>
      <c r="Q437">
        <v>5.92853</v>
      </c>
      <c r="R437">
        <v>3.70553</v>
      </c>
      <c r="S437">
        <v>10.72604</v>
      </c>
      <c r="T437">
        <v>12.01233</v>
      </c>
      <c r="U437">
        <v>11.62009</v>
      </c>
      <c r="V437">
        <v>10.46991</v>
      </c>
      <c r="W437">
        <v>9.71478</v>
      </c>
      <c r="X437">
        <v>8.36562</v>
      </c>
      <c r="Y437">
        <v>12.88045</v>
      </c>
      <c r="Z437">
        <v>15.92549</v>
      </c>
      <c r="AA437">
        <v>6.54237</v>
      </c>
      <c r="AB437">
        <v>8.95517</v>
      </c>
      <c r="AC437">
        <v>9.358</v>
      </c>
      <c r="AD437">
        <v>4.23572</v>
      </c>
      <c r="AE437">
        <v>10.31528</v>
      </c>
      <c r="AF437">
        <v>9.41701</v>
      </c>
      <c r="AG437">
        <v>11.76129</v>
      </c>
      <c r="AH437">
        <v>7.54987</v>
      </c>
      <c r="AI437">
        <v>10.31528</v>
      </c>
      <c r="AJ437">
        <v>10.03064</v>
      </c>
    </row>
    <row r="438" spans="1:36" ht="12.75">
      <c r="A438">
        <v>1997</v>
      </c>
      <c r="B438">
        <v>16.04457</v>
      </c>
      <c r="C438">
        <v>25.49813</v>
      </c>
      <c r="D438">
        <v>15.71672</v>
      </c>
      <c r="E438">
        <v>11.45027</v>
      </c>
      <c r="F438">
        <v>15.16778</v>
      </c>
      <c r="G438">
        <v>17.63372</v>
      </c>
      <c r="H438">
        <v>25.65628</v>
      </c>
      <c r="I438">
        <v>27.04626</v>
      </c>
      <c r="J438">
        <v>23.15736</v>
      </c>
      <c r="K438">
        <v>15.5624</v>
      </c>
      <c r="L438">
        <v>15.49273</v>
      </c>
      <c r="M438">
        <v>14.26342</v>
      </c>
      <c r="N438">
        <v>16.17545</v>
      </c>
      <c r="O438">
        <v>15.66886</v>
      </c>
      <c r="P438">
        <v>15.87037</v>
      </c>
      <c r="Q438">
        <v>10.89382</v>
      </c>
      <c r="R438">
        <v>7.82599</v>
      </c>
      <c r="S438">
        <v>17.04418</v>
      </c>
      <c r="T438">
        <v>20.46547</v>
      </c>
      <c r="U438">
        <v>17.94566</v>
      </c>
      <c r="V438">
        <v>17.83442</v>
      </c>
      <c r="W438">
        <v>14.49227</v>
      </c>
      <c r="X438">
        <v>13.51853</v>
      </c>
      <c r="Y438">
        <v>17.63372</v>
      </c>
      <c r="Z438">
        <v>25.65628</v>
      </c>
      <c r="AA438">
        <v>15.15196</v>
      </c>
      <c r="AB438">
        <v>17.22777</v>
      </c>
      <c r="AC438">
        <v>15.65377</v>
      </c>
      <c r="AD438">
        <v>8.42931</v>
      </c>
      <c r="AE438">
        <v>16.37532</v>
      </c>
      <c r="AF438">
        <v>13.94145</v>
      </c>
      <c r="AG438">
        <v>18.4578</v>
      </c>
      <c r="AH438">
        <v>14.53757</v>
      </c>
      <c r="AI438">
        <v>16.37532</v>
      </c>
      <c r="AJ438">
        <v>16.76443</v>
      </c>
    </row>
    <row r="439" spans="1:36" ht="12.75">
      <c r="A439">
        <v>1998</v>
      </c>
      <c r="B439">
        <v>10.07452</v>
      </c>
      <c r="C439">
        <v>11.86577</v>
      </c>
      <c r="D439">
        <v>11.42528</v>
      </c>
      <c r="E439">
        <v>7.61347</v>
      </c>
      <c r="F439">
        <v>10.1922</v>
      </c>
      <c r="G439">
        <v>13.61782</v>
      </c>
      <c r="H439">
        <v>10.49788</v>
      </c>
      <c r="I439">
        <v>10.82116</v>
      </c>
      <c r="J439">
        <v>10.09354</v>
      </c>
      <c r="K439">
        <v>13.43726</v>
      </c>
      <c r="L439">
        <v>11.49073</v>
      </c>
      <c r="M439">
        <v>11.40292</v>
      </c>
      <c r="N439">
        <v>11.2619</v>
      </c>
      <c r="O439">
        <v>14.24285</v>
      </c>
      <c r="P439">
        <v>12.90731</v>
      </c>
      <c r="Q439">
        <v>10.94247</v>
      </c>
      <c r="R439">
        <v>9.47838</v>
      </c>
      <c r="S439">
        <v>14.26997</v>
      </c>
      <c r="T439">
        <v>16.55452</v>
      </c>
      <c r="U439">
        <v>15.70503</v>
      </c>
      <c r="V439">
        <v>14.62387</v>
      </c>
      <c r="W439">
        <v>12.06675</v>
      </c>
      <c r="X439">
        <v>8.94428</v>
      </c>
      <c r="Y439">
        <v>13.61782</v>
      </c>
      <c r="Z439">
        <v>10.49788</v>
      </c>
      <c r="AA439">
        <v>9.47812</v>
      </c>
      <c r="AB439">
        <v>12.86462</v>
      </c>
      <c r="AC439">
        <v>13.20061</v>
      </c>
      <c r="AD439">
        <v>9.69236</v>
      </c>
      <c r="AE439">
        <v>13.19391</v>
      </c>
      <c r="AF439">
        <v>10.57585</v>
      </c>
      <c r="AG439">
        <v>11.55257</v>
      </c>
      <c r="AH439">
        <v>11.60521</v>
      </c>
      <c r="AI439">
        <v>13.19391</v>
      </c>
      <c r="AJ439">
        <v>11.7596</v>
      </c>
    </row>
    <row r="440" spans="1:36" ht="12.75">
      <c r="A440">
        <v>1999</v>
      </c>
      <c r="B440">
        <v>12.25866</v>
      </c>
      <c r="C440">
        <v>10.14604</v>
      </c>
      <c r="D440">
        <v>15.91497</v>
      </c>
      <c r="E440">
        <v>11.83225</v>
      </c>
      <c r="F440">
        <v>12.75471</v>
      </c>
      <c r="G440">
        <v>15.29538</v>
      </c>
      <c r="H440">
        <v>14.46806</v>
      </c>
      <c r="I440">
        <v>14.37331</v>
      </c>
      <c r="J440">
        <v>14.9435</v>
      </c>
      <c r="K440">
        <v>13.56785</v>
      </c>
      <c r="L440">
        <v>14.66875</v>
      </c>
      <c r="M440">
        <v>14.15082</v>
      </c>
      <c r="N440">
        <v>13.74111</v>
      </c>
      <c r="O440">
        <v>17.75163</v>
      </c>
      <c r="P440">
        <v>14.33407</v>
      </c>
      <c r="Q440">
        <v>15.19814</v>
      </c>
      <c r="R440">
        <v>13.43682</v>
      </c>
      <c r="S440">
        <v>18.60828</v>
      </c>
      <c r="T440">
        <v>21.91234</v>
      </c>
      <c r="U440">
        <v>20.55698</v>
      </c>
      <c r="V440">
        <v>17.96781</v>
      </c>
      <c r="W440">
        <v>16.00291</v>
      </c>
      <c r="X440">
        <v>13.31282</v>
      </c>
      <c r="Y440">
        <v>15.29538</v>
      </c>
      <c r="Z440">
        <v>14.46806</v>
      </c>
      <c r="AA440">
        <v>11.31107</v>
      </c>
      <c r="AB440">
        <v>15.8786</v>
      </c>
      <c r="AC440">
        <v>15.56416</v>
      </c>
      <c r="AD440">
        <v>13.36258</v>
      </c>
      <c r="AE440">
        <v>17.54563</v>
      </c>
      <c r="AF440">
        <v>14.74598</v>
      </c>
      <c r="AG440">
        <v>13.93044</v>
      </c>
      <c r="AH440">
        <v>14.2506</v>
      </c>
      <c r="AI440">
        <v>17.54563</v>
      </c>
      <c r="AJ440">
        <v>14.49536</v>
      </c>
    </row>
    <row r="441" spans="1:36" ht="12.75">
      <c r="A441">
        <v>2000</v>
      </c>
      <c r="B441">
        <v>3.89995</v>
      </c>
      <c r="C441">
        <v>9.40123</v>
      </c>
      <c r="D441">
        <v>4.81801</v>
      </c>
      <c r="E441">
        <v>1.57613</v>
      </c>
      <c r="F441">
        <v>2.23167</v>
      </c>
      <c r="G441">
        <v>6.20608</v>
      </c>
      <c r="H441">
        <v>11.37201</v>
      </c>
      <c r="I441">
        <v>11.67613</v>
      </c>
      <c r="J441">
        <v>10.70791</v>
      </c>
      <c r="K441">
        <v>5.95696</v>
      </c>
      <c r="L441">
        <v>7.12039</v>
      </c>
      <c r="M441">
        <v>15.71494</v>
      </c>
      <c r="N441">
        <v>17.80779</v>
      </c>
      <c r="O441">
        <v>18.37517</v>
      </c>
      <c r="P441">
        <v>12.02809</v>
      </c>
      <c r="Q441">
        <v>12.81655</v>
      </c>
      <c r="R441">
        <v>10.50383</v>
      </c>
      <c r="S441">
        <v>13.98971</v>
      </c>
      <c r="T441">
        <v>17.51511</v>
      </c>
      <c r="U441">
        <v>14.98306</v>
      </c>
      <c r="V441">
        <v>14.61864</v>
      </c>
      <c r="W441">
        <v>11.26279</v>
      </c>
      <c r="X441">
        <v>12.12777</v>
      </c>
      <c r="Y441">
        <v>6.20608</v>
      </c>
      <c r="Z441">
        <v>11.37201</v>
      </c>
      <c r="AA441">
        <v>15.45378</v>
      </c>
      <c r="AB441">
        <v>19.51086</v>
      </c>
      <c r="AC441">
        <v>14.32235</v>
      </c>
      <c r="AD441">
        <v>10.30795</v>
      </c>
      <c r="AE441">
        <v>13.64579</v>
      </c>
      <c r="AF441">
        <v>11.06761</v>
      </c>
      <c r="AG441">
        <v>6.71896</v>
      </c>
      <c r="AH441">
        <v>15.38092</v>
      </c>
      <c r="AI441">
        <v>13.64579</v>
      </c>
      <c r="AJ441">
        <v>10.45429</v>
      </c>
    </row>
    <row r="442" spans="1:36" ht="12.75">
      <c r="A442">
        <v>2001</v>
      </c>
      <c r="B442">
        <v>3.65865</v>
      </c>
      <c r="C442">
        <v>6.47513</v>
      </c>
      <c r="D442">
        <v>5.96393</v>
      </c>
      <c r="E442">
        <v>2.43787</v>
      </c>
      <c r="F442">
        <v>2.3748</v>
      </c>
      <c r="G442">
        <v>5.21963</v>
      </c>
      <c r="H442">
        <v>8.00014</v>
      </c>
      <c r="I442">
        <v>9.37686</v>
      </c>
      <c r="J442">
        <v>5.60896</v>
      </c>
      <c r="K442">
        <v>6.49282</v>
      </c>
      <c r="L442">
        <v>9.51366</v>
      </c>
      <c r="M442">
        <v>8.23063</v>
      </c>
      <c r="N442">
        <v>9.44539</v>
      </c>
      <c r="O442">
        <v>7.64955</v>
      </c>
      <c r="P442">
        <v>3.33869</v>
      </c>
      <c r="Q442">
        <v>8.55305</v>
      </c>
      <c r="R442">
        <v>9.31946</v>
      </c>
      <c r="S442">
        <v>8.29247</v>
      </c>
      <c r="T442">
        <v>7.7978</v>
      </c>
      <c r="U442">
        <v>7.58722</v>
      </c>
      <c r="V442">
        <v>8.48857</v>
      </c>
      <c r="W442">
        <v>8.85577</v>
      </c>
      <c r="X442">
        <v>8.3022</v>
      </c>
      <c r="Y442">
        <v>5.21963</v>
      </c>
      <c r="Z442">
        <v>8.00014</v>
      </c>
      <c r="AA442">
        <v>10.30417</v>
      </c>
      <c r="AB442">
        <v>8.83008</v>
      </c>
      <c r="AC442">
        <v>5.0037</v>
      </c>
      <c r="AD442">
        <v>8.20979</v>
      </c>
      <c r="AE442">
        <v>8.29365</v>
      </c>
      <c r="AF442">
        <v>8.74908</v>
      </c>
      <c r="AG442">
        <v>5.6089</v>
      </c>
      <c r="AH442">
        <v>7.68604</v>
      </c>
      <c r="AI442">
        <v>8.29365</v>
      </c>
      <c r="AJ442">
        <v>6.79008</v>
      </c>
    </row>
    <row r="443" spans="1:36" ht="12.75">
      <c r="A443">
        <v>2002</v>
      </c>
      <c r="B443">
        <v>12.37334</v>
      </c>
      <c r="C443">
        <v>9.93438</v>
      </c>
      <c r="D443">
        <v>15.32528</v>
      </c>
      <c r="E443">
        <v>14.52639</v>
      </c>
      <c r="F443">
        <v>12.43431</v>
      </c>
      <c r="G443">
        <v>12.37968</v>
      </c>
      <c r="H443">
        <v>17.30715</v>
      </c>
      <c r="I443">
        <v>16.99405</v>
      </c>
      <c r="J443">
        <v>17.9096</v>
      </c>
      <c r="K443">
        <v>18.99856</v>
      </c>
      <c r="L443">
        <v>15.91401</v>
      </c>
      <c r="M443">
        <v>3.15193</v>
      </c>
      <c r="N443">
        <v>0.69208</v>
      </c>
      <c r="O443">
        <v>3.63109</v>
      </c>
      <c r="P443">
        <v>3.54459</v>
      </c>
      <c r="Q443">
        <v>7.9492</v>
      </c>
      <c r="R443">
        <v>12.01074</v>
      </c>
      <c r="S443">
        <v>10.62255</v>
      </c>
      <c r="T443">
        <v>11.36613</v>
      </c>
      <c r="U443">
        <v>9.44948</v>
      </c>
      <c r="V443">
        <v>10.70804</v>
      </c>
      <c r="W443">
        <v>10.77669</v>
      </c>
      <c r="X443">
        <v>11.18773</v>
      </c>
      <c r="Y443">
        <v>12.37968</v>
      </c>
      <c r="Z443">
        <v>17.30715</v>
      </c>
      <c r="AA443">
        <v>-0.79215</v>
      </c>
      <c r="AB443">
        <v>1.88187</v>
      </c>
      <c r="AC443">
        <v>3.86287</v>
      </c>
      <c r="AD443">
        <v>10.81699</v>
      </c>
      <c r="AE443">
        <v>10.73215</v>
      </c>
      <c r="AF443">
        <v>10.95385</v>
      </c>
      <c r="AG443">
        <v>14.02633</v>
      </c>
      <c r="AH443">
        <v>3.3009</v>
      </c>
      <c r="AI443">
        <v>10.73215</v>
      </c>
      <c r="AJ443">
        <v>9.63765</v>
      </c>
    </row>
    <row r="444" spans="1:36" ht="12.75">
      <c r="A444">
        <v>2003</v>
      </c>
      <c r="B444">
        <v>14.10998</v>
      </c>
      <c r="C444">
        <v>10.7065</v>
      </c>
      <c r="D444">
        <v>17.00071</v>
      </c>
      <c r="E444">
        <v>15.73922</v>
      </c>
      <c r="F444">
        <v>14.86825</v>
      </c>
      <c r="G444">
        <v>15.47824</v>
      </c>
      <c r="H444">
        <v>16.37389</v>
      </c>
      <c r="I444">
        <v>16.69944</v>
      </c>
      <c r="J444">
        <v>15.33378</v>
      </c>
      <c r="K444">
        <v>18.52101</v>
      </c>
      <c r="L444">
        <v>17.53715</v>
      </c>
      <c r="M444">
        <v>3.38176</v>
      </c>
      <c r="N444">
        <v>0.97692</v>
      </c>
      <c r="O444">
        <v>3.29817</v>
      </c>
      <c r="P444">
        <v>3.22785</v>
      </c>
      <c r="Q444">
        <v>6.40592</v>
      </c>
      <c r="R444">
        <v>11.19131</v>
      </c>
      <c r="S444">
        <v>11.399</v>
      </c>
      <c r="T444">
        <v>11.7446</v>
      </c>
      <c r="U444">
        <v>9.78341</v>
      </c>
      <c r="V444">
        <v>10.51289</v>
      </c>
      <c r="W444">
        <v>12.48244</v>
      </c>
      <c r="X444">
        <v>10.54113</v>
      </c>
      <c r="Y444">
        <v>15.47824</v>
      </c>
      <c r="Z444">
        <v>16.37389</v>
      </c>
      <c r="AA444">
        <v>-0.54556</v>
      </c>
      <c r="AB444">
        <v>2.09898</v>
      </c>
      <c r="AC444">
        <v>2.65929</v>
      </c>
      <c r="AD444">
        <v>10.073</v>
      </c>
      <c r="AE444">
        <v>11.23202</v>
      </c>
      <c r="AF444">
        <v>12.11476</v>
      </c>
      <c r="AG444">
        <v>15.45439</v>
      </c>
      <c r="AH444">
        <v>3.18483</v>
      </c>
      <c r="AI444">
        <v>11.23202</v>
      </c>
      <c r="AJ444">
        <v>10.85392</v>
      </c>
    </row>
    <row r="445" spans="1:36" ht="12.75">
      <c r="A445">
        <v>2004</v>
      </c>
      <c r="B445">
        <v>21.14172</v>
      </c>
      <c r="C445">
        <v>17.89826</v>
      </c>
      <c r="D445">
        <v>23.73902</v>
      </c>
      <c r="E445">
        <v>22.60222</v>
      </c>
      <c r="F445">
        <v>21.7636</v>
      </c>
      <c r="G445">
        <v>17.38325</v>
      </c>
      <c r="H445">
        <v>23.39323</v>
      </c>
      <c r="I445">
        <v>23.64414</v>
      </c>
      <c r="J445">
        <v>22.72551</v>
      </c>
      <c r="K445">
        <v>20.60285</v>
      </c>
      <c r="L445">
        <v>22.79683</v>
      </c>
      <c r="M445">
        <v>15.73138</v>
      </c>
      <c r="N445">
        <v>15.95812</v>
      </c>
      <c r="O445">
        <v>16.40916</v>
      </c>
      <c r="P445">
        <v>14.32116</v>
      </c>
      <c r="Q445">
        <v>16.82612</v>
      </c>
      <c r="R445">
        <v>15.5934</v>
      </c>
      <c r="S445">
        <v>17.0616</v>
      </c>
      <c r="T445">
        <v>17.29171</v>
      </c>
      <c r="U445">
        <v>15.1927</v>
      </c>
      <c r="V445">
        <v>17.42416</v>
      </c>
      <c r="W445">
        <v>17.61796</v>
      </c>
      <c r="X445">
        <v>16.00701</v>
      </c>
      <c r="Y445">
        <v>17.38325</v>
      </c>
      <c r="Z445">
        <v>23.39323</v>
      </c>
      <c r="AA445">
        <v>13.4039</v>
      </c>
      <c r="AB445">
        <v>17.74725</v>
      </c>
      <c r="AC445">
        <v>14.3387</v>
      </c>
      <c r="AD445">
        <v>14.82171</v>
      </c>
      <c r="AE445">
        <v>16.87169</v>
      </c>
      <c r="AF445">
        <v>17.17757</v>
      </c>
      <c r="AG445">
        <v>20.46</v>
      </c>
      <c r="AH445">
        <v>15.15174</v>
      </c>
      <c r="AI445">
        <v>16.87169</v>
      </c>
      <c r="AJ445">
        <v>18.33464</v>
      </c>
    </row>
    <row r="446" ht="12.75">
      <c r="A446"/>
    </row>
    <row r="447" ht="12.75">
      <c r="A447"/>
    </row>
    <row r="448" ht="12.75">
      <c r="A448"/>
    </row>
    <row r="449" ht="12.75">
      <c r="A449"/>
    </row>
    <row r="450" ht="12.75">
      <c r="A450"/>
    </row>
    <row r="451" ht="12.75">
      <c r="A451"/>
    </row>
    <row r="452" ht="12.75">
      <c r="A452"/>
    </row>
    <row r="541" ht="12.75">
      <c r="A541" t="s">
        <v>24</v>
      </c>
    </row>
    <row r="542" ht="12.75">
      <c r="A542"/>
    </row>
    <row r="543" ht="12.75">
      <c r="A543" t="s">
        <v>25</v>
      </c>
    </row>
    <row r="544" ht="12.75">
      <c r="A544"/>
    </row>
    <row r="545" spans="1:2" ht="12.75">
      <c r="A545" s="21">
        <v>31777</v>
      </c>
      <c r="B545" s="22">
        <v>100</v>
      </c>
    </row>
    <row r="546" spans="1:2" ht="12.75">
      <c r="A546" s="23">
        <v>31808</v>
      </c>
      <c r="B546" s="22">
        <v>100.74841936045844</v>
      </c>
    </row>
    <row r="547" spans="1:2" ht="12.75">
      <c r="A547" s="23">
        <v>31836</v>
      </c>
      <c r="B547" s="22">
        <v>101.60546073702112</v>
      </c>
    </row>
    <row r="548" spans="1:2" ht="12.75">
      <c r="A548" s="23">
        <v>31867</v>
      </c>
      <c r="B548" s="22">
        <v>102.90950090139023</v>
      </c>
    </row>
    <row r="549" spans="1:2" ht="12.75">
      <c r="A549" s="23">
        <v>31897</v>
      </c>
      <c r="B549" s="22">
        <v>104.68472062215601</v>
      </c>
    </row>
    <row r="550" spans="1:2" ht="12.75">
      <c r="A550" s="23">
        <v>31928</v>
      </c>
      <c r="B550" s="22">
        <v>106.12253351853096</v>
      </c>
    </row>
    <row r="551" spans="1:2" ht="12.75">
      <c r="A551" s="21">
        <v>31958</v>
      </c>
      <c r="B551" s="22">
        <v>108.91601070822381</v>
      </c>
    </row>
    <row r="552" spans="1:2" ht="12.75">
      <c r="A552" s="23">
        <v>31989</v>
      </c>
      <c r="B552" s="22">
        <v>110.6810952338137</v>
      </c>
    </row>
    <row r="553" spans="1:2" ht="12.75">
      <c r="A553" s="23">
        <v>32020</v>
      </c>
      <c r="B553" s="22">
        <v>112.45816314243933</v>
      </c>
    </row>
    <row r="554" spans="1:2" ht="12.75">
      <c r="A554" s="23">
        <v>32050</v>
      </c>
      <c r="B554" s="22">
        <v>114.71090416669145</v>
      </c>
    </row>
    <row r="555" spans="1:2" ht="12.75">
      <c r="A555" s="23">
        <v>32081</v>
      </c>
      <c r="B555" s="22">
        <v>116.84669276631503</v>
      </c>
    </row>
    <row r="556" spans="1:2" ht="12.75">
      <c r="A556" s="23">
        <v>32111</v>
      </c>
      <c r="B556" s="22">
        <v>119.94347726228752</v>
      </c>
    </row>
    <row r="557" spans="1:3" ht="12.75">
      <c r="A557" s="21">
        <v>32142</v>
      </c>
      <c r="B557" s="22">
        <v>122.40835687377431</v>
      </c>
      <c r="C557">
        <v>22.408356873774316</v>
      </c>
    </row>
    <row r="558" spans="1:3" ht="12.75">
      <c r="A558" s="21">
        <v>32508</v>
      </c>
      <c r="B558" s="22">
        <v>163.86549908488223</v>
      </c>
      <c r="C558">
        <v>33.867901889948506</v>
      </c>
    </row>
    <row r="559" spans="1:3" ht="12.75">
      <c r="A559" s="21">
        <v>32873</v>
      </c>
      <c r="B559" s="22">
        <v>189.11699420124282</v>
      </c>
      <c r="C559">
        <v>15.4098911957546</v>
      </c>
    </row>
    <row r="560" spans="1:3" ht="12.75">
      <c r="A560" s="21">
        <v>33238</v>
      </c>
      <c r="B560" s="22">
        <v>173.00499453211265</v>
      </c>
      <c r="C560">
        <v>-8.519593776953272</v>
      </c>
    </row>
    <row r="561" spans="1:3" ht="12.75">
      <c r="A561" s="21">
        <v>33603</v>
      </c>
      <c r="B561" s="22">
        <v>170.70710164799286</v>
      </c>
      <c r="C561">
        <v>-1.3282234367478107</v>
      </c>
    </row>
    <row r="562" spans="1:3" ht="12.75">
      <c r="A562" s="21">
        <v>33969</v>
      </c>
      <c r="B562" s="22">
        <v>173.61442519599598</v>
      </c>
      <c r="C562">
        <v>1.7031063851099537</v>
      </c>
    </row>
    <row r="563" spans="1:3" ht="12.75">
      <c r="A563" s="21">
        <v>34334</v>
      </c>
      <c r="B563" s="22">
        <v>209.6772963274362</v>
      </c>
      <c r="C563">
        <v>20.77181725581172</v>
      </c>
    </row>
    <row r="564" spans="1:3" ht="12.75">
      <c r="A564" s="21">
        <v>34699</v>
      </c>
      <c r="B564" s="22">
        <v>236.4140703652065</v>
      </c>
      <c r="C564">
        <v>12.751392022919639</v>
      </c>
    </row>
    <row r="565" spans="1:3" ht="12.75">
      <c r="A565" s="21">
        <v>35064</v>
      </c>
      <c r="B565" s="22">
        <v>238.98477693751104</v>
      </c>
      <c r="C565">
        <v>1.0873746085981129</v>
      </c>
    </row>
    <row r="566" spans="1:3" ht="12.75">
      <c r="A566" s="21">
        <v>35430</v>
      </c>
      <c r="B566" s="22">
        <v>261.2526755344315</v>
      </c>
      <c r="C566">
        <v>9.317705873266968</v>
      </c>
    </row>
    <row r="567" spans="1:3" ht="12.75">
      <c r="A567" s="21">
        <v>35795</v>
      </c>
      <c r="B567" s="22">
        <v>300.95433142823157</v>
      </c>
      <c r="C567">
        <v>15.19665045059706</v>
      </c>
    </row>
    <row r="568" spans="1:3" ht="12.75">
      <c r="A568" s="21">
        <v>36160</v>
      </c>
      <c r="B568" s="22">
        <v>335.7016087319904</v>
      </c>
      <c r="C568">
        <v>11.545697694018742</v>
      </c>
    </row>
    <row r="569" spans="1:3" ht="12.75">
      <c r="A569" s="21">
        <v>36525</v>
      </c>
      <c r="B569" s="22">
        <v>380.8649619060261</v>
      </c>
      <c r="C569">
        <v>13.453421729084457</v>
      </c>
    </row>
    <row r="570" spans="1:3" ht="12.75">
      <c r="A570" s="21">
        <v>36891</v>
      </c>
      <c r="B570" s="22">
        <v>411.59749577051474</v>
      </c>
      <c r="C570">
        <v>8.069141805717361</v>
      </c>
    </row>
    <row r="571" spans="1:3" ht="12.75">
      <c r="A571" s="21">
        <v>37256</v>
      </c>
      <c r="B571">
        <v>434.4367849853308</v>
      </c>
      <c r="C571">
        <v>5.548937845712754</v>
      </c>
    </row>
    <row r="572" spans="1:3" ht="12.75">
      <c r="A572" s="21">
        <v>37621</v>
      </c>
      <c r="B572">
        <v>477.27556019596517</v>
      </c>
      <c r="C572">
        <v>9.860761494236936</v>
      </c>
    </row>
    <row r="573" spans="1:3" ht="12.75">
      <c r="A573" s="23">
        <v>37986</v>
      </c>
      <c r="B573">
        <v>531.5672332746597</v>
      </c>
      <c r="C573">
        <v>11.37533064890286</v>
      </c>
    </row>
    <row r="574" spans="1:3" ht="12.75">
      <c r="A574" s="21">
        <v>38352</v>
      </c>
      <c r="B574">
        <v>634.5892047930039</v>
      </c>
      <c r="C574">
        <v>19.380797962976203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/>
  <dimension ref="A1:AT630"/>
  <sheetViews>
    <sheetView showGridLines="0" defaultGridColor="0" colorId="12" workbookViewId="0" topLeftCell="A1">
      <pane xSplit="1" ySplit="9" topLeftCell="B10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10" sqref="B10"/>
    </sheetView>
  </sheetViews>
  <sheetFormatPr defaultColWidth="9.140625" defaultRowHeight="12.75"/>
  <cols>
    <col min="1" max="1" width="12.28125" style="90" customWidth="1"/>
    <col min="2" max="5" width="10.28125" style="5" customWidth="1"/>
    <col min="6" max="6" width="3.57421875" style="5" customWidth="1"/>
    <col min="7" max="9" width="11.140625" style="2" customWidth="1"/>
    <col min="10" max="10" width="11.140625" style="0" customWidth="1"/>
    <col min="11" max="46" width="9.140625" style="0" hidden="1" customWidth="1"/>
  </cols>
  <sheetData>
    <row r="1" spans="1:46" ht="30.75" customHeight="1" thickBot="1">
      <c r="A1" s="131" t="s">
        <v>93</v>
      </c>
      <c r="B1" s="78" t="s">
        <v>71</v>
      </c>
      <c r="C1" s="84"/>
      <c r="D1" s="84"/>
      <c r="E1" s="84"/>
      <c r="F1" s="84"/>
      <c r="G1" s="84"/>
      <c r="H1" s="84"/>
      <c r="I1" s="84"/>
      <c r="J1" s="34"/>
      <c r="K1" s="78" t="s">
        <v>112</v>
      </c>
      <c r="L1" s="84"/>
      <c r="M1" s="84"/>
      <c r="N1" s="84"/>
      <c r="O1" s="84"/>
      <c r="P1" s="84"/>
      <c r="Q1" s="84"/>
      <c r="R1" s="84"/>
      <c r="S1" s="34"/>
      <c r="T1" s="78" t="s">
        <v>71</v>
      </c>
      <c r="U1" s="84"/>
      <c r="V1" s="84"/>
      <c r="W1" s="84"/>
      <c r="X1" s="84"/>
      <c r="Y1" s="84"/>
      <c r="Z1" s="84"/>
      <c r="AA1" s="84"/>
      <c r="AB1" s="34"/>
      <c r="AC1" s="78" t="s">
        <v>70</v>
      </c>
      <c r="AD1" s="84"/>
      <c r="AE1" s="84"/>
      <c r="AF1" s="84"/>
      <c r="AG1" s="84"/>
      <c r="AH1" s="84"/>
      <c r="AI1" s="84"/>
      <c r="AJ1" s="84"/>
      <c r="AK1" s="34"/>
      <c r="AL1" s="78" t="s">
        <v>69</v>
      </c>
      <c r="AM1" s="84"/>
      <c r="AN1" s="84"/>
      <c r="AO1" s="84"/>
      <c r="AP1" s="84"/>
      <c r="AQ1" s="84"/>
      <c r="AR1" s="84"/>
      <c r="AS1" s="84"/>
      <c r="AT1" s="34"/>
    </row>
    <row r="2" spans="1:44" ht="18" customHeight="1">
      <c r="A2" s="132"/>
      <c r="B2"/>
      <c r="F2" s="28"/>
      <c r="I2"/>
      <c r="L2" s="5"/>
      <c r="M2" s="5"/>
      <c r="N2" s="5"/>
      <c r="O2" s="28"/>
      <c r="P2" s="2"/>
      <c r="Q2" s="2"/>
      <c r="U2" s="5"/>
      <c r="V2" s="5"/>
      <c r="W2" s="5"/>
      <c r="X2" s="28"/>
      <c r="Y2" s="2"/>
      <c r="Z2" s="2"/>
      <c r="AD2" s="5"/>
      <c r="AE2" s="5"/>
      <c r="AF2" s="5"/>
      <c r="AG2" s="28"/>
      <c r="AH2" s="2"/>
      <c r="AI2" s="2"/>
      <c r="AM2" s="5"/>
      <c r="AN2" s="5"/>
      <c r="AO2" s="5"/>
      <c r="AP2" s="28"/>
      <c r="AQ2" s="2"/>
      <c r="AR2" s="2"/>
    </row>
    <row r="3" spans="1:46" ht="13.5" thickBot="1">
      <c r="A3" s="132"/>
      <c r="B3"/>
      <c r="F3"/>
      <c r="G3" s="60" t="s">
        <v>115</v>
      </c>
      <c r="H3" s="35"/>
      <c r="I3" s="34"/>
      <c r="J3" s="34"/>
      <c r="L3" s="5"/>
      <c r="M3" s="5"/>
      <c r="N3" s="5"/>
      <c r="P3" s="60" t="s">
        <v>115</v>
      </c>
      <c r="Q3" s="35"/>
      <c r="R3" s="34"/>
      <c r="S3" s="34"/>
      <c r="U3" s="5"/>
      <c r="V3" s="5"/>
      <c r="W3" s="5"/>
      <c r="Y3" s="60" t="s">
        <v>115</v>
      </c>
      <c r="Z3" s="35"/>
      <c r="AA3" s="34"/>
      <c r="AB3" s="34"/>
      <c r="AD3" s="5"/>
      <c r="AE3" s="5"/>
      <c r="AF3" s="5"/>
      <c r="AH3" s="60" t="s">
        <v>115</v>
      </c>
      <c r="AI3" s="35"/>
      <c r="AJ3" s="34"/>
      <c r="AK3" s="34"/>
      <c r="AM3" s="5"/>
      <c r="AN3" s="5"/>
      <c r="AO3" s="5"/>
      <c r="AQ3" s="60" t="s">
        <v>115</v>
      </c>
      <c r="AR3" s="35"/>
      <c r="AS3" s="34"/>
      <c r="AT3" s="34"/>
    </row>
    <row r="4" spans="1:46" ht="12.75">
      <c r="A4" s="132"/>
      <c r="B4"/>
      <c r="F4"/>
      <c r="G4" s="58" t="str">
        <f>+B9</f>
        <v>All Property</v>
      </c>
      <c r="H4" s="58" t="str">
        <f>+C9</f>
        <v>Retail</v>
      </c>
      <c r="I4" s="58" t="str">
        <f>+D9</f>
        <v>Office</v>
      </c>
      <c r="J4" s="58" t="str">
        <f>+E9</f>
        <v>Industrial</v>
      </c>
      <c r="L4" s="5"/>
      <c r="M4" s="5"/>
      <c r="N4" s="5"/>
      <c r="P4" s="58">
        <f>+K9</f>
        <v>0</v>
      </c>
      <c r="Q4" s="58">
        <f>+L9</f>
        <v>0</v>
      </c>
      <c r="R4" s="58">
        <f>+M9</f>
        <v>0</v>
      </c>
      <c r="S4" s="58">
        <f>+N9</f>
        <v>0</v>
      </c>
      <c r="U4" s="5"/>
      <c r="V4" s="5"/>
      <c r="W4" s="5"/>
      <c r="Y4" s="58">
        <f>+T9</f>
        <v>0</v>
      </c>
      <c r="Z4" s="58">
        <f>+U9</f>
        <v>0</v>
      </c>
      <c r="AA4" s="58">
        <f>+V9</f>
        <v>0</v>
      </c>
      <c r="AB4" s="58">
        <f>+W9</f>
        <v>0</v>
      </c>
      <c r="AD4" s="5"/>
      <c r="AE4" s="5"/>
      <c r="AF4" s="5"/>
      <c r="AH4" s="58">
        <f>+AC9</f>
        <v>0</v>
      </c>
      <c r="AI4" s="58">
        <f>+AD9</f>
        <v>0</v>
      </c>
      <c r="AJ4" s="58">
        <f>+AE9</f>
        <v>0</v>
      </c>
      <c r="AK4" s="58">
        <f>+AF9</f>
        <v>0</v>
      </c>
      <c r="AM4" s="5"/>
      <c r="AN4" s="5"/>
      <c r="AO4" s="5"/>
      <c r="AQ4" s="58">
        <f>+AL9</f>
        <v>0</v>
      </c>
      <c r="AR4" s="58">
        <f>+AM9</f>
        <v>0</v>
      </c>
      <c r="AS4" s="58">
        <f>+AN9</f>
        <v>0</v>
      </c>
      <c r="AT4" s="58">
        <f>+AO9</f>
        <v>0</v>
      </c>
    </row>
    <row r="5" spans="1:46" ht="12.75">
      <c r="A5" s="132"/>
      <c r="B5"/>
      <c r="F5"/>
      <c r="G5" s="95">
        <f>+B32</f>
        <v>0.28170029843189454</v>
      </c>
      <c r="H5" s="95">
        <f>+C32</f>
        <v>0.2169735771564632</v>
      </c>
      <c r="I5" s="95">
        <f>+D32</f>
        <v>0.35291884213310304</v>
      </c>
      <c r="J5" s="95">
        <f>+E32</f>
        <v>0.350009817841459</v>
      </c>
      <c r="L5" s="5"/>
      <c r="M5" s="5"/>
      <c r="N5" s="5"/>
      <c r="P5" s="95">
        <f>+K31</f>
        <v>0</v>
      </c>
      <c r="Q5" s="95">
        <f>+L31</f>
        <v>0</v>
      </c>
      <c r="R5" s="95">
        <f>+M31</f>
        <v>0</v>
      </c>
      <c r="S5" s="95">
        <f>+N31</f>
        <v>0</v>
      </c>
      <c r="U5" s="5"/>
      <c r="V5" s="5"/>
      <c r="W5" s="5"/>
      <c r="Y5" s="95">
        <f>+T32</f>
        <v>0</v>
      </c>
      <c r="Z5" s="95">
        <f>+U32</f>
        <v>0</v>
      </c>
      <c r="AA5" s="95">
        <f>+V32</f>
        <v>0</v>
      </c>
      <c r="AB5" s="95">
        <f>+W32</f>
        <v>0</v>
      </c>
      <c r="AD5" s="5"/>
      <c r="AE5" s="5"/>
      <c r="AF5" s="5"/>
      <c r="AH5" s="95">
        <f>+AC33</f>
        <v>0</v>
      </c>
      <c r="AI5" s="95">
        <f>+AD33</f>
        <v>0</v>
      </c>
      <c r="AJ5" s="95">
        <f>+AE33</f>
        <v>0</v>
      </c>
      <c r="AK5" s="95">
        <f>+AF33</f>
        <v>0</v>
      </c>
      <c r="AM5" s="5"/>
      <c r="AN5" s="5"/>
      <c r="AO5" s="5"/>
      <c r="AQ5" s="95">
        <f>+AL34</f>
        <v>0</v>
      </c>
      <c r="AR5" s="95">
        <f>+AM34</f>
        <v>0</v>
      </c>
      <c r="AS5" s="95">
        <f>+AN34</f>
        <v>0</v>
      </c>
      <c r="AT5" s="95">
        <f>+AO34</f>
        <v>0</v>
      </c>
    </row>
    <row r="6" spans="1:10" s="88" customFormat="1" ht="12.75">
      <c r="A6" s="132"/>
      <c r="B6"/>
      <c r="C6" s="11"/>
      <c r="D6" s="11"/>
      <c r="E6" s="11"/>
      <c r="F6"/>
      <c r="G6" s="52"/>
      <c r="H6" s="52"/>
      <c r="I6" s="52"/>
      <c r="J6" s="52"/>
    </row>
    <row r="7" spans="1:10" s="88" customFormat="1" ht="12.75">
      <c r="A7" s="128"/>
      <c r="B7" s="11"/>
      <c r="C7" s="11"/>
      <c r="D7" s="11"/>
      <c r="E7" s="11"/>
      <c r="F7" s="11"/>
      <c r="G7" s="52"/>
      <c r="H7" s="52"/>
      <c r="I7" s="52"/>
      <c r="J7" s="52"/>
    </row>
    <row r="8" spans="1:10" s="32" customFormat="1" ht="13.5" thickBot="1">
      <c r="A8" s="91"/>
      <c r="B8" s="124" t="s">
        <v>113</v>
      </c>
      <c r="C8" s="123"/>
      <c r="D8" s="123"/>
      <c r="E8" s="123"/>
      <c r="F8" s="56"/>
      <c r="G8" s="33" t="s">
        <v>111</v>
      </c>
      <c r="H8" s="33"/>
      <c r="I8" s="33"/>
      <c r="J8" s="33"/>
    </row>
    <row r="9" spans="1:10" s="31" customFormat="1" ht="25.5">
      <c r="A9" s="129" t="s">
        <v>9</v>
      </c>
      <c r="B9" s="41" t="s">
        <v>30</v>
      </c>
      <c r="C9" s="41" t="s">
        <v>26</v>
      </c>
      <c r="D9" s="41" t="s">
        <v>27</v>
      </c>
      <c r="E9" s="41" t="s">
        <v>28</v>
      </c>
      <c r="F9" s="41"/>
      <c r="G9" s="41" t="s">
        <v>30</v>
      </c>
      <c r="H9" s="41" t="s">
        <v>26</v>
      </c>
      <c r="I9" s="41" t="s">
        <v>27</v>
      </c>
      <c r="J9" s="41" t="s">
        <v>28</v>
      </c>
    </row>
    <row r="10" spans="1:10" ht="19.5" customHeight="1">
      <c r="A10" s="104" t="s">
        <v>98</v>
      </c>
      <c r="B10" s="81"/>
      <c r="C10" s="81"/>
      <c r="D10" s="81"/>
      <c r="E10" s="81"/>
      <c r="F10" s="81"/>
      <c r="G10" s="45"/>
      <c r="H10" s="45"/>
      <c r="I10" s="45"/>
      <c r="J10" s="125"/>
    </row>
    <row r="11" spans="1:10" ht="12.75">
      <c r="A11" s="105" t="s">
        <v>29</v>
      </c>
      <c r="B11" s="43">
        <f>RATE(47,,-B105,B$152)*100</f>
        <v>11.76310159164938</v>
      </c>
      <c r="C11" s="43">
        <f aca="true" t="shared" si="0" ref="C11:I11">RATE(47,,-C105,C$152)*100</f>
        <v>11.568555328208593</v>
      </c>
      <c r="D11" s="43">
        <f t="shared" si="0"/>
        <v>11.662831958839485</v>
      </c>
      <c r="E11" s="43">
        <f t="shared" si="0"/>
        <v>12.334997558070233</v>
      </c>
      <c r="F11" s="43"/>
      <c r="G11" s="43">
        <f t="shared" si="0"/>
        <v>11.451471648349067</v>
      </c>
      <c r="H11" s="43">
        <f t="shared" si="0"/>
        <v>11.422989261653685</v>
      </c>
      <c r="I11" s="43">
        <f t="shared" si="0"/>
        <v>10.905084041686647</v>
      </c>
      <c r="J11" s="43">
        <f>RATE(47,,-J105,J$152)*100</f>
        <v>12.076506440486236</v>
      </c>
    </row>
    <row r="12" spans="1:10" ht="12.75">
      <c r="A12" s="90" t="s">
        <v>11</v>
      </c>
      <c r="B12" s="43">
        <f>RATE(35,,-B117,B$152)*100</f>
        <v>12.448423962175275</v>
      </c>
      <c r="C12" s="43">
        <f aca="true" t="shared" si="1" ref="C12:I12">RATE(35,,-C117,C$152)*100</f>
        <v>13.382322547107838</v>
      </c>
      <c r="D12" s="43">
        <f t="shared" si="1"/>
        <v>11.167343127002786</v>
      </c>
      <c r="E12" s="43">
        <f t="shared" si="1"/>
        <v>13.941785086795402</v>
      </c>
      <c r="F12" s="43"/>
      <c r="G12" s="43">
        <f t="shared" si="1"/>
        <v>11.94170184421622</v>
      </c>
      <c r="H12" s="43">
        <f t="shared" si="1"/>
        <v>13.278556200327426</v>
      </c>
      <c r="I12" s="43">
        <f t="shared" si="1"/>
        <v>9.777863843145102</v>
      </c>
      <c r="J12" s="43">
        <f>RATE(35,,-J117,J$152)*100</f>
        <v>13.706637208311697</v>
      </c>
    </row>
    <row r="13" spans="1:10" ht="12.75">
      <c r="A13" s="91" t="s">
        <v>12</v>
      </c>
      <c r="B13" s="43">
        <f>RATE(25,,-B127,B$152)*100</f>
        <v>10.919884703948652</v>
      </c>
      <c r="C13" s="43">
        <f aca="true" t="shared" si="2" ref="C13:I13">RATE(25,,-C127,C$152)*100</f>
        <v>12.052075230263846</v>
      </c>
      <c r="D13" s="43">
        <f t="shared" si="2"/>
        <v>9.546628440235512</v>
      </c>
      <c r="E13" s="43">
        <f t="shared" si="2"/>
        <v>12.25377755679251</v>
      </c>
      <c r="F13" s="43"/>
      <c r="G13" s="43">
        <f t="shared" si="2"/>
        <v>10.741705402276311</v>
      </c>
      <c r="H13" s="43">
        <f t="shared" si="2"/>
        <v>11.93873289638966</v>
      </c>
      <c r="I13" s="43">
        <f t="shared" si="2"/>
        <v>9.210735634823854</v>
      </c>
      <c r="J13" s="43">
        <f>RATE(25,,-J127,J$152)*100</f>
        <v>11.86253200576279</v>
      </c>
    </row>
    <row r="14" spans="1:10" ht="12.75">
      <c r="A14" s="91" t="s">
        <v>13</v>
      </c>
      <c r="B14" s="43">
        <f>RATE(15,,-B137,B$152)*100</f>
        <v>10.425094528591416</v>
      </c>
      <c r="C14" s="43">
        <f aca="true" t="shared" si="3" ref="C14:I14">RATE(15,,-C137,C$152)*100</f>
        <v>11.943467451664972</v>
      </c>
      <c r="D14" s="43">
        <f t="shared" si="3"/>
        <v>8.160943409797468</v>
      </c>
      <c r="E14" s="43">
        <f t="shared" si="3"/>
        <v>12.06160045228554</v>
      </c>
      <c r="F14" s="43"/>
      <c r="G14" s="43">
        <f t="shared" si="3"/>
        <v>11.048591153036487</v>
      </c>
      <c r="H14" s="43">
        <f t="shared" si="3"/>
        <v>12.385995019002257</v>
      </c>
      <c r="I14" s="43">
        <f t="shared" si="3"/>
        <v>9.017105548313618</v>
      </c>
      <c r="J14" s="43">
        <f>RATE(15,,-J137,J$152)*100</f>
        <v>12.64188942103042</v>
      </c>
    </row>
    <row r="15" spans="1:10" ht="19.5" customHeight="1">
      <c r="A15" s="93" t="s">
        <v>110</v>
      </c>
      <c r="B15" s="81"/>
      <c r="C15" s="81"/>
      <c r="D15" s="81"/>
      <c r="E15" s="81"/>
      <c r="F15" s="81"/>
      <c r="G15" s="81"/>
      <c r="H15" s="81"/>
      <c r="I15" s="81"/>
      <c r="J15" s="81"/>
    </row>
    <row r="16" spans="1:10" ht="12.75">
      <c r="A16" s="105" t="s">
        <v>29</v>
      </c>
      <c r="B16" s="43">
        <f>AVERAGE(B$55:B$101)</f>
        <v>12.171042765957447</v>
      </c>
      <c r="C16" s="43">
        <f aca="true" t="shared" si="4" ref="C16:J16">AVERAGE(C$55:C$101)</f>
        <v>11.926376382978725</v>
      </c>
      <c r="D16" s="43">
        <f t="shared" si="4"/>
        <v>12.312763617021279</v>
      </c>
      <c r="E16" s="43">
        <f t="shared" si="4"/>
        <v>12.698562340425532</v>
      </c>
      <c r="F16" s="43"/>
      <c r="G16" s="43">
        <f t="shared" si="4"/>
        <v>12.23779622118297</v>
      </c>
      <c r="H16" s="43">
        <f t="shared" si="4"/>
        <v>11.976489509569264</v>
      </c>
      <c r="I16" s="43">
        <f t="shared" si="4"/>
        <v>12.433448138602463</v>
      </c>
      <c r="J16" s="43">
        <f t="shared" si="4"/>
        <v>12.838339239807382</v>
      </c>
    </row>
    <row r="17" spans="1:10" ht="12.75">
      <c r="A17" s="90" t="s">
        <v>11</v>
      </c>
      <c r="B17" s="43">
        <f>AVERAGE(B$67:B$101)</f>
        <v>12.929686</v>
      </c>
      <c r="C17" s="43">
        <f aca="true" t="shared" si="5" ref="C17:J17">AVERAGE(C$67:C$101)</f>
        <v>13.778276857142856</v>
      </c>
      <c r="D17" s="43">
        <f t="shared" si="5"/>
        <v>11.81142542857143</v>
      </c>
      <c r="E17" s="43">
        <f t="shared" si="5"/>
        <v>14.35235514285714</v>
      </c>
      <c r="F17" s="43"/>
      <c r="G17" s="43">
        <f t="shared" si="5"/>
        <v>12.868058256515013</v>
      </c>
      <c r="H17" s="43">
        <f t="shared" si="5"/>
        <v>13.916824913010833</v>
      </c>
      <c r="I17" s="43">
        <f t="shared" si="5"/>
        <v>11.297190008317523</v>
      </c>
      <c r="J17" s="43">
        <f t="shared" si="5"/>
        <v>14.600058139958415</v>
      </c>
    </row>
    <row r="18" spans="1:10" ht="12.75">
      <c r="A18" s="91" t="s">
        <v>12</v>
      </c>
      <c r="B18" s="43">
        <f>AVERAGE(B$77:B$101)</f>
        <v>11.232456000000003</v>
      </c>
      <c r="C18" s="43">
        <f aca="true" t="shared" si="6" ref="C18:J18">AVERAGE(C$77:C$101)</f>
        <v>12.279163999999998</v>
      </c>
      <c r="D18" s="43">
        <f t="shared" si="6"/>
        <v>10.020155599999999</v>
      </c>
      <c r="E18" s="43">
        <f t="shared" si="6"/>
        <v>12.602234399999997</v>
      </c>
      <c r="F18" s="43"/>
      <c r="G18" s="43">
        <f t="shared" si="6"/>
        <v>11.257387133860396</v>
      </c>
      <c r="H18" s="43">
        <f t="shared" si="6"/>
        <v>12.273669405781165</v>
      </c>
      <c r="I18" s="43">
        <f t="shared" si="6"/>
        <v>10.093651248230879</v>
      </c>
      <c r="J18" s="43">
        <f t="shared" si="6"/>
        <v>12.63129943889204</v>
      </c>
    </row>
    <row r="19" spans="1:10" ht="12.75">
      <c r="A19" s="91" t="s">
        <v>13</v>
      </c>
      <c r="B19" s="43">
        <f>AVERAGE(B$87:B$101)</f>
        <v>10.638467333333333</v>
      </c>
      <c r="C19" s="43">
        <f aca="true" t="shared" si="7" ref="C19:J19">AVERAGE(C$87:C$101)</f>
        <v>12.10368</v>
      </c>
      <c r="D19" s="43">
        <f t="shared" si="7"/>
        <v>8.527830000000002</v>
      </c>
      <c r="E19" s="43">
        <f t="shared" si="7"/>
        <v>12.190760666666668</v>
      </c>
      <c r="F19" s="43"/>
      <c r="G19" s="43">
        <f t="shared" si="7"/>
        <v>11.358832906424947</v>
      </c>
      <c r="H19" s="43">
        <f t="shared" si="7"/>
        <v>12.605181474171623</v>
      </c>
      <c r="I19" s="43">
        <f t="shared" si="7"/>
        <v>9.625916057868862</v>
      </c>
      <c r="J19" s="43">
        <f t="shared" si="7"/>
        <v>12.97687592412517</v>
      </c>
    </row>
    <row r="20" spans="1:10" ht="19.5" customHeight="1">
      <c r="A20" s="92" t="s">
        <v>8</v>
      </c>
      <c r="B20" s="81"/>
      <c r="C20" s="81"/>
      <c r="D20" s="81"/>
      <c r="E20" s="81"/>
      <c r="F20" s="81"/>
      <c r="G20" s="81"/>
      <c r="H20" s="81"/>
      <c r="I20" s="81"/>
      <c r="J20" s="81"/>
    </row>
    <row r="21" spans="1:10" ht="12.75">
      <c r="A21" s="105" t="s">
        <v>29</v>
      </c>
      <c r="B21" s="43">
        <f>STDEV(B$55:B$101)</f>
        <v>9.530069738651202</v>
      </c>
      <c r="C21" s="43">
        <f aca="true" t="shared" si="8" ref="C21:J21">STDEV(C$55:C$101)</f>
        <v>8.928241284174911</v>
      </c>
      <c r="D21" s="43">
        <f t="shared" si="8"/>
        <v>12.272729166460618</v>
      </c>
      <c r="E21" s="43">
        <f t="shared" si="8"/>
        <v>9.296555354798663</v>
      </c>
      <c r="F21" s="43"/>
      <c r="G21" s="43">
        <f t="shared" si="8"/>
        <v>12.80308939871596</v>
      </c>
      <c r="H21" s="43">
        <f t="shared" si="8"/>
        <v>10.898042687094957</v>
      </c>
      <c r="I21" s="43">
        <f t="shared" si="8"/>
        <v>18.258091871451843</v>
      </c>
      <c r="J21" s="43">
        <f t="shared" si="8"/>
        <v>13.169022478207689</v>
      </c>
    </row>
    <row r="22" spans="1:10" ht="12.75">
      <c r="A22" s="90" t="s">
        <v>11</v>
      </c>
      <c r="B22" s="43">
        <f>STDEV(B$67:B$101)</f>
        <v>10.329478798904566</v>
      </c>
      <c r="C22" s="43">
        <f aca="true" t="shared" si="9" ref="C22:J22">STDEV(C$67:C$101)</f>
        <v>9.362889844116369</v>
      </c>
      <c r="D22" s="43">
        <f t="shared" si="9"/>
        <v>11.904247280528594</v>
      </c>
      <c r="E22" s="43">
        <f t="shared" si="9"/>
        <v>9.91597595592836</v>
      </c>
      <c r="F22" s="43"/>
      <c r="G22" s="43">
        <f t="shared" si="9"/>
        <v>13.778241245983795</v>
      </c>
      <c r="H22" s="43">
        <f t="shared" si="9"/>
        <v>11.62624591676357</v>
      </c>
      <c r="I22" s="43">
        <f t="shared" si="9"/>
        <v>17.214961099029903</v>
      </c>
      <c r="J22" s="43">
        <f t="shared" si="9"/>
        <v>14.281033323496823</v>
      </c>
    </row>
    <row r="23" spans="1:10" ht="12.75">
      <c r="A23" s="91" t="s">
        <v>12</v>
      </c>
      <c r="B23" s="43">
        <f>STDEV(B$77:B$101)</f>
        <v>8.445246732353354</v>
      </c>
      <c r="C23" s="43">
        <f aca="true" t="shared" si="10" ref="C23:J23">STDEV(C$77:C$101)</f>
        <v>7.148075614856075</v>
      </c>
      <c r="D23" s="43">
        <f t="shared" si="10"/>
        <v>10.331102185203541</v>
      </c>
      <c r="E23" s="43">
        <f t="shared" si="10"/>
        <v>9.23257901763915</v>
      </c>
      <c r="F23" s="43"/>
      <c r="G23" s="43">
        <f t="shared" si="10"/>
        <v>10.768009995183375</v>
      </c>
      <c r="H23" s="43">
        <f t="shared" si="10"/>
        <v>8.63164634828241</v>
      </c>
      <c r="I23" s="43">
        <f t="shared" si="10"/>
        <v>14.041760660961824</v>
      </c>
      <c r="J23" s="43">
        <f t="shared" si="10"/>
        <v>13.36416212617557</v>
      </c>
    </row>
    <row r="24" spans="1:10" ht="12.75">
      <c r="A24" s="91" t="s">
        <v>13</v>
      </c>
      <c r="B24" s="43">
        <f>STDEV(B$87:B$101)</f>
        <v>7.018321963482915</v>
      </c>
      <c r="C24" s="43">
        <f aca="true" t="shared" si="11" ref="C24:J24">STDEV(C$87:C$101)</f>
        <v>6.185180915128626</v>
      </c>
      <c r="D24" s="43">
        <f t="shared" si="11"/>
        <v>9.015713605751271</v>
      </c>
      <c r="E24" s="43">
        <f t="shared" si="11"/>
        <v>5.531824058833793</v>
      </c>
      <c r="F24" s="43"/>
      <c r="G24" s="43">
        <f t="shared" si="11"/>
        <v>8.632165328501967</v>
      </c>
      <c r="H24" s="43">
        <f t="shared" si="11"/>
        <v>7.277589889279492</v>
      </c>
      <c r="I24" s="43">
        <f t="shared" si="11"/>
        <v>11.974985685146555</v>
      </c>
      <c r="J24" s="43">
        <f t="shared" si="11"/>
        <v>8.973268664662188</v>
      </c>
    </row>
    <row r="25" spans="1:10" ht="19.5" customHeight="1">
      <c r="A25" s="92" t="s">
        <v>86</v>
      </c>
      <c r="B25" s="81"/>
      <c r="C25" s="81"/>
      <c r="D25" s="81"/>
      <c r="E25" s="81"/>
      <c r="F25" s="81"/>
      <c r="G25" s="81"/>
      <c r="H25" s="81"/>
      <c r="I25" s="81"/>
      <c r="J25" s="81"/>
    </row>
    <row r="26" spans="1:10" ht="12.75">
      <c r="A26" s="105" t="s">
        <v>29</v>
      </c>
      <c r="B26" s="43"/>
      <c r="C26" s="43"/>
      <c r="D26" s="43"/>
      <c r="E26" s="43"/>
      <c r="F26" s="43"/>
      <c r="G26" s="43">
        <f aca="true" t="shared" si="12" ref="G26:J29">+G21/B21</f>
        <v>1.3434413125845595</v>
      </c>
      <c r="H26" s="43">
        <f t="shared" si="12"/>
        <v>1.2206259150289174</v>
      </c>
      <c r="I26" s="43">
        <f t="shared" si="12"/>
        <v>1.4876961451531296</v>
      </c>
      <c r="J26" s="43">
        <f t="shared" si="12"/>
        <v>1.4165486005964725</v>
      </c>
    </row>
    <row r="27" spans="1:10" ht="12.75">
      <c r="A27" s="90" t="s">
        <v>11</v>
      </c>
      <c r="B27" s="43"/>
      <c r="C27" s="43"/>
      <c r="D27" s="43"/>
      <c r="E27" s="43"/>
      <c r="F27" s="43"/>
      <c r="G27" s="43">
        <f t="shared" si="12"/>
        <v>1.3338757467070814</v>
      </c>
      <c r="H27" s="43">
        <f t="shared" si="12"/>
        <v>1.2417369113948824</v>
      </c>
      <c r="I27" s="43">
        <f t="shared" si="12"/>
        <v>1.4461192457911958</v>
      </c>
      <c r="J27" s="43">
        <f t="shared" si="12"/>
        <v>1.4402045130977523</v>
      </c>
    </row>
    <row r="28" spans="1:10" ht="12.75">
      <c r="A28" s="91" t="s">
        <v>12</v>
      </c>
      <c r="B28" s="43"/>
      <c r="C28" s="43"/>
      <c r="D28" s="43"/>
      <c r="E28" s="43"/>
      <c r="F28" s="43"/>
      <c r="G28" s="43">
        <f t="shared" si="12"/>
        <v>1.275037939854572</v>
      </c>
      <c r="H28" s="43">
        <f t="shared" si="12"/>
        <v>1.2075482708021419</v>
      </c>
      <c r="I28" s="43">
        <f t="shared" si="12"/>
        <v>1.3591735333982835</v>
      </c>
      <c r="J28" s="43">
        <f t="shared" si="12"/>
        <v>1.447500433047244</v>
      </c>
    </row>
    <row r="29" spans="1:10" ht="12.75">
      <c r="A29" s="91" t="s">
        <v>13</v>
      </c>
      <c r="B29" s="43"/>
      <c r="C29" s="43"/>
      <c r="D29" s="43"/>
      <c r="E29" s="43"/>
      <c r="F29" s="43"/>
      <c r="G29" s="43">
        <f t="shared" si="12"/>
        <v>1.2299471830183986</v>
      </c>
      <c r="H29" s="43">
        <f t="shared" si="12"/>
        <v>1.1766171417037925</v>
      </c>
      <c r="I29" s="43">
        <f t="shared" si="12"/>
        <v>1.3282349250210783</v>
      </c>
      <c r="J29" s="43">
        <f t="shared" si="12"/>
        <v>1.6221175093833176</v>
      </c>
    </row>
    <row r="30" spans="1:10" ht="19.5" customHeight="1">
      <c r="A30" s="93" t="s">
        <v>17</v>
      </c>
      <c r="B30" s="81"/>
      <c r="C30" s="81"/>
      <c r="D30" s="81"/>
      <c r="E30" s="81"/>
      <c r="F30" s="81"/>
      <c r="G30" s="81"/>
      <c r="H30" s="81"/>
      <c r="I30" s="81"/>
      <c r="J30" s="81"/>
    </row>
    <row r="31" spans="1:10" ht="12.75">
      <c r="A31" s="105" t="s">
        <v>29</v>
      </c>
      <c r="B31" s="44">
        <f>CORREL(B56:B101,B55:B100)</f>
        <v>0.26266508450592907</v>
      </c>
      <c r="C31" s="44">
        <f aca="true" t="shared" si="13" ref="C31:I31">CORREL(C56:C101,C55:C100)</f>
        <v>0.30797946556470446</v>
      </c>
      <c r="D31" s="44">
        <f t="shared" si="13"/>
        <v>0.27940898152967836</v>
      </c>
      <c r="E31" s="44">
        <f t="shared" si="13"/>
        <v>0.3860509417869829</v>
      </c>
      <c r="F31" s="44"/>
      <c r="G31" s="44">
        <f t="shared" si="13"/>
        <v>0.013839806824798274</v>
      </c>
      <c r="H31" s="44">
        <f t="shared" si="13"/>
        <v>0.10694364396478287</v>
      </c>
      <c r="I31" s="44">
        <f t="shared" si="13"/>
        <v>-0.07678586860973884</v>
      </c>
      <c r="J31" s="44">
        <f>CORREL(J56:J101,J55:J100)</f>
        <v>0.10376856228613913</v>
      </c>
    </row>
    <row r="32" spans="1:10" ht="12.75">
      <c r="A32" s="90" t="s">
        <v>11</v>
      </c>
      <c r="B32" s="44">
        <f>CORREL(B68:B101,B67:B100)</f>
        <v>0.28170029843189454</v>
      </c>
      <c r="C32" s="44">
        <f aca="true" t="shared" si="14" ref="C32:I32">CORREL(C68:C101,C67:C100)</f>
        <v>0.2169735771564632</v>
      </c>
      <c r="D32" s="44">
        <f t="shared" si="14"/>
        <v>0.35291884213310304</v>
      </c>
      <c r="E32" s="44">
        <f t="shared" si="14"/>
        <v>0.350009817841459</v>
      </c>
      <c r="F32" s="44"/>
      <c r="G32" s="44">
        <f t="shared" si="14"/>
        <v>0.05420022063359772</v>
      </c>
      <c r="H32" s="44">
        <f t="shared" si="14"/>
        <v>0.019331484114870998</v>
      </c>
      <c r="I32" s="44">
        <f t="shared" si="14"/>
        <v>0.04971353997386392</v>
      </c>
      <c r="J32" s="44">
        <f>CORREL(J68:J101,J67:J100)</f>
        <v>0.07542825091605543</v>
      </c>
    </row>
    <row r="33" spans="1:10" ht="12.75">
      <c r="A33" s="91" t="s">
        <v>12</v>
      </c>
      <c r="B33" s="44">
        <f>CORREL(B78:B101,B77:B100)</f>
        <v>0.42030109576011215</v>
      </c>
      <c r="C33" s="44">
        <f aca="true" t="shared" si="15" ref="C33:I33">CORREL(C78:C101,C77:C100)</f>
        <v>0.33267972781283955</v>
      </c>
      <c r="D33" s="44">
        <f t="shared" si="15"/>
        <v>0.4921301559115798</v>
      </c>
      <c r="E33" s="44">
        <f t="shared" si="15"/>
        <v>0.3420076302788609</v>
      </c>
      <c r="F33" s="44"/>
      <c r="G33" s="44">
        <f t="shared" si="15"/>
        <v>0.2907524677702317</v>
      </c>
      <c r="H33" s="44">
        <f t="shared" si="15"/>
        <v>0.20557772362016455</v>
      </c>
      <c r="I33" s="44">
        <f t="shared" si="15"/>
        <v>0.36006679135066</v>
      </c>
      <c r="J33" s="44">
        <f>CORREL(J78:J101,J77:J100)</f>
        <v>0.11041611345157114</v>
      </c>
    </row>
    <row r="34" spans="1:10" ht="12.75">
      <c r="A34" s="91" t="s">
        <v>13</v>
      </c>
      <c r="B34" s="44">
        <f>CORREL(B88:B101,B87:B100)</f>
        <v>0.26610950010614237</v>
      </c>
      <c r="C34" s="44">
        <f aca="true" t="shared" si="16" ref="C34:I34">CORREL(C88:C101,C87:C100)</f>
        <v>0.22476418848484778</v>
      </c>
      <c r="D34" s="44">
        <f t="shared" si="16"/>
        <v>0.3589385999691493</v>
      </c>
      <c r="E34" s="44">
        <f t="shared" si="16"/>
        <v>-0.024001470432587678</v>
      </c>
      <c r="F34" s="44"/>
      <c r="G34" s="44">
        <f t="shared" si="16"/>
        <v>-0.011986524424252255</v>
      </c>
      <c r="H34" s="44">
        <f t="shared" si="16"/>
        <v>0.02163774965241452</v>
      </c>
      <c r="I34" s="44">
        <f t="shared" si="16"/>
        <v>0.07399993840088553</v>
      </c>
      <c r="J34" s="44">
        <f>CORREL(J88:J101,J87:J100)</f>
        <v>-0.3265120101000709</v>
      </c>
    </row>
    <row r="35" spans="1:10" ht="19.5" customHeight="1">
      <c r="A35" s="93" t="s">
        <v>63</v>
      </c>
      <c r="B35" s="82"/>
      <c r="C35" s="82"/>
      <c r="D35" s="82"/>
      <c r="E35" s="82"/>
      <c r="F35" s="82"/>
      <c r="G35" s="82"/>
      <c r="H35" s="82"/>
      <c r="I35" s="82"/>
      <c r="J35" s="82"/>
    </row>
    <row r="36" spans="1:10" ht="12.75">
      <c r="A36" s="105" t="s">
        <v>29</v>
      </c>
      <c r="B36" s="44">
        <f aca="true" t="shared" si="17" ref="B36:J36">IF(B31&gt;0,TDIST(B31/SQRT((1-B31^2)/47),47,2),TDIST(-B31/SQRT((1-B31^2)/47),32,2))</f>
        <v>0.06824991379179259</v>
      </c>
      <c r="C36" s="44">
        <f t="shared" si="17"/>
        <v>0.031331803475926984</v>
      </c>
      <c r="D36" s="44">
        <f t="shared" si="17"/>
        <v>0.05186058441818064</v>
      </c>
      <c r="E36" s="44">
        <f t="shared" si="17"/>
        <v>0.006149702251431271</v>
      </c>
      <c r="F36" s="44"/>
      <c r="G36" s="44">
        <f t="shared" si="17"/>
        <v>0.9248055907138683</v>
      </c>
      <c r="H36" s="44">
        <f t="shared" si="17"/>
        <v>0.46454618306746565</v>
      </c>
      <c r="I36" s="44">
        <f t="shared" si="17"/>
        <v>0.6011582776384478</v>
      </c>
      <c r="J36" s="44">
        <f t="shared" si="17"/>
        <v>0.4779849393974789</v>
      </c>
    </row>
    <row r="37" spans="1:10" ht="12.75">
      <c r="A37" s="90" t="s">
        <v>11</v>
      </c>
      <c r="B37" s="44">
        <f aca="true" t="shared" si="18" ref="B37:J37">IF(B32&gt;0,TDIST(B32/SQRT((1-B32^2)/32),32,2),TDIST(-B32/SQRT((1-B32^2)/32),32,2))</f>
        <v>0.1065232109058406</v>
      </c>
      <c r="C37" s="44">
        <f t="shared" si="18"/>
        <v>0.21772958028605416</v>
      </c>
      <c r="D37" s="44">
        <f t="shared" si="18"/>
        <v>0.04063027919383912</v>
      </c>
      <c r="E37" s="44">
        <f t="shared" si="18"/>
        <v>0.04243314001434282</v>
      </c>
      <c r="F37" s="44"/>
      <c r="G37" s="44">
        <f t="shared" si="18"/>
        <v>0.7607915522513737</v>
      </c>
      <c r="H37" s="44">
        <f t="shared" si="18"/>
        <v>0.913587435089209</v>
      </c>
      <c r="I37" s="44">
        <f t="shared" si="18"/>
        <v>0.7800858131597193</v>
      </c>
      <c r="J37" s="44">
        <f t="shared" si="18"/>
        <v>0.6715860166916895</v>
      </c>
    </row>
    <row r="38" spans="1:10" ht="12.75">
      <c r="A38" s="91" t="s">
        <v>12</v>
      </c>
      <c r="B38" s="44">
        <f aca="true" t="shared" si="19" ref="B38:J38">IF(B33&gt;0,TDIST(B33/SQRT((1-B33^2)/22),22,2),TDIST(-B33/SQRT((1-B33^2)/22),22,2))</f>
        <v>0.04085985766734554</v>
      </c>
      <c r="C38" s="44">
        <f t="shared" si="19"/>
        <v>0.11219251780898953</v>
      </c>
      <c r="D38" s="44">
        <f t="shared" si="19"/>
        <v>0.014573558437805624</v>
      </c>
      <c r="E38" s="44">
        <f t="shared" si="19"/>
        <v>0.10188004992801133</v>
      </c>
      <c r="F38" s="44"/>
      <c r="G38" s="44">
        <f t="shared" si="19"/>
        <v>0.16809711317305143</v>
      </c>
      <c r="H38" s="44">
        <f t="shared" si="19"/>
        <v>0.335194480302598</v>
      </c>
      <c r="I38" s="44">
        <f t="shared" si="19"/>
        <v>0.08393303333152145</v>
      </c>
      <c r="J38" s="44">
        <f t="shared" si="19"/>
        <v>0.607514361450778</v>
      </c>
    </row>
    <row r="39" spans="1:10" ht="12.75">
      <c r="A39" s="91" t="s">
        <v>13</v>
      </c>
      <c r="B39" s="44">
        <f aca="true" t="shared" si="20" ref="B39:J39">IF(B34&gt;0,TDIST(B34/SQRT((1-B34^2)/12),12,2),TDIST(-B34/SQRT((1-B34^2)/12),12,2))</f>
        <v>0.3577843752221176</v>
      </c>
      <c r="C39" s="44">
        <f t="shared" si="20"/>
        <v>0.4397903915091068</v>
      </c>
      <c r="D39" s="44">
        <f t="shared" si="20"/>
        <v>0.2075502569389931</v>
      </c>
      <c r="E39" s="44">
        <f t="shared" si="20"/>
        <v>0.9350896078565687</v>
      </c>
      <c r="F39" s="44"/>
      <c r="G39" s="44">
        <f t="shared" si="20"/>
        <v>0.9675598724821933</v>
      </c>
      <c r="H39" s="44">
        <f t="shared" si="20"/>
        <v>0.9414716163791361</v>
      </c>
      <c r="I39" s="44">
        <f t="shared" si="20"/>
        <v>0.8014961395183435</v>
      </c>
      <c r="J39" s="44">
        <f t="shared" si="20"/>
        <v>0.2545482056398888</v>
      </c>
    </row>
    <row r="40" spans="1:10" ht="19.5" customHeight="1">
      <c r="A40" s="93" t="s">
        <v>18</v>
      </c>
      <c r="B40" s="81"/>
      <c r="C40" s="81"/>
      <c r="D40" s="81"/>
      <c r="E40" s="81"/>
      <c r="F40" s="81"/>
      <c r="G40" s="81"/>
      <c r="H40" s="81"/>
      <c r="I40" s="81"/>
      <c r="J40" s="81"/>
    </row>
    <row r="41" spans="1:10" ht="12.75">
      <c r="A41" s="105" t="s">
        <v>29</v>
      </c>
      <c r="B41" s="44">
        <f>CORREL(B57:B$101,B55:B$99)</f>
        <v>-0.03732981898843408</v>
      </c>
      <c r="C41" s="44">
        <f>CORREL(C57:C$101,C55:C$99)</f>
        <v>0.03597915128147168</v>
      </c>
      <c r="D41" s="44">
        <f>CORREL(D57:D$101,D55:D$99)</f>
        <v>0.09366425656676797</v>
      </c>
      <c r="E41" s="44">
        <f>CORREL(E57:E$101,E55:E$99)</f>
        <v>-0.020879685122500314</v>
      </c>
      <c r="F41" s="44"/>
      <c r="G41" s="44">
        <f>CORREL(G57:G$101,G55:G$99)</f>
        <v>-0.030009791270525013</v>
      </c>
      <c r="H41" s="44">
        <f>CORREL(H57:H$101,H55:H$99)</f>
        <v>-0.00778271540659163</v>
      </c>
      <c r="I41" s="44">
        <f>CORREL(I57:I$101,I55:I$99)</f>
        <v>0.07671545141288741</v>
      </c>
      <c r="J41" s="44">
        <f>CORREL(J57:J$101,J55:J$99)</f>
        <v>-0.0622140172625308</v>
      </c>
    </row>
    <row r="42" spans="1:10" ht="12.75">
      <c r="A42" s="90" t="s">
        <v>11</v>
      </c>
      <c r="B42" s="44">
        <f>CORREL(B69:B$101,B67:B$99)</f>
        <v>-0.155707052440018</v>
      </c>
      <c r="C42" s="44">
        <f>CORREL(C69:C$101,C67:C$99)</f>
        <v>-0.010427915715390448</v>
      </c>
      <c r="D42" s="44">
        <f>CORREL(D69:D$101,D67:D$99)</f>
        <v>-0.17620132121208207</v>
      </c>
      <c r="E42" s="44">
        <f>CORREL(E69:E$101,E67:E$99)</f>
        <v>-0.0371303529382135</v>
      </c>
      <c r="F42" s="44"/>
      <c r="G42" s="44">
        <f>CORREL(G69:G$101,G67:G$99)</f>
        <v>-0.15741570492599632</v>
      </c>
      <c r="H42" s="44">
        <f>CORREL(H69:H$101,H67:H$99)</f>
        <v>-0.018057860745156563</v>
      </c>
      <c r="I42" s="44">
        <f>CORREL(I69:I$101,I67:I$99)</f>
        <v>-0.23107373884373575</v>
      </c>
      <c r="J42" s="44">
        <f>CORREL(J69:J$101,J67:J$99)</f>
        <v>-0.035323848238979765</v>
      </c>
    </row>
    <row r="43" spans="1:10" ht="12.75">
      <c r="A43" s="91" t="s">
        <v>12</v>
      </c>
      <c r="B43" s="44">
        <f>CORREL(B79:B$101,B77:B$99)</f>
        <v>-0.2451919378438893</v>
      </c>
      <c r="C43" s="44">
        <f>CORREL(C79:C$101,C77:C$99)</f>
        <v>-0.24505139954754013</v>
      </c>
      <c r="D43" s="44">
        <f>CORREL(D79:D$101,D77:D$99)</f>
        <v>-0.20457997429290437</v>
      </c>
      <c r="E43" s="44">
        <f>CORREL(E79:E$101,E77:E$99)</f>
        <v>-0.16565913982676492</v>
      </c>
      <c r="F43" s="44"/>
      <c r="G43" s="44">
        <f>CORREL(G79:G$101,G77:G$99)</f>
        <v>-0.26756539168615023</v>
      </c>
      <c r="H43" s="44">
        <f>CORREL(H79:H$101,H77:H$99)</f>
        <v>-0.26477692665468283</v>
      </c>
      <c r="I43" s="44">
        <f>CORREL(I79:I$101,I77:I$99)</f>
        <v>-0.26125063904871054</v>
      </c>
      <c r="J43" s="44">
        <f>CORREL(J79:J$101,J77:J$99)</f>
        <v>-0.1662383580297275</v>
      </c>
    </row>
    <row r="44" spans="1:10" ht="12.75">
      <c r="A44" s="91" t="s">
        <v>13</v>
      </c>
      <c r="B44" s="44">
        <f>CORREL(B89:B$101,B87:B$99)</f>
        <v>-0.565460408737947</v>
      </c>
      <c r="C44" s="44">
        <f>CORREL(C89:C$101,C87:C$99)</f>
        <v>-0.4548856440376719</v>
      </c>
      <c r="D44" s="44">
        <f>CORREL(D89:D$101,D87:D$99)</f>
        <v>-0.5888414147861707</v>
      </c>
      <c r="E44" s="44">
        <f>CORREL(E89:E$101,E87:E$99)</f>
        <v>-0.45281112396551987</v>
      </c>
      <c r="F44" s="44"/>
      <c r="G44" s="44">
        <f>CORREL(G89:G$101,G87:G$99)</f>
        <v>-0.5591351625530904</v>
      </c>
      <c r="H44" s="44">
        <f>CORREL(H89:H$101,H87:H$99)</f>
        <v>-0.41644499485891523</v>
      </c>
      <c r="I44" s="44">
        <f>CORREL(I89:I$101,I87:I$99)</f>
        <v>-0.6499476482428023</v>
      </c>
      <c r="J44" s="44">
        <f>CORREL(J89:J$101,J87:J$99)</f>
        <v>-0.25103951144124165</v>
      </c>
    </row>
    <row r="45" spans="1:10" ht="19.5" customHeight="1">
      <c r="A45" s="93" t="s">
        <v>64</v>
      </c>
      <c r="B45" s="82"/>
      <c r="C45" s="82"/>
      <c r="D45" s="82"/>
      <c r="E45" s="82"/>
      <c r="F45" s="82"/>
      <c r="G45" s="82"/>
      <c r="H45" s="82"/>
      <c r="I45" s="82"/>
      <c r="J45" s="82"/>
    </row>
    <row r="46" spans="1:10" ht="12.75">
      <c r="A46" s="105" t="s">
        <v>29</v>
      </c>
      <c r="B46" s="44">
        <f aca="true" t="shared" si="21" ref="B46:J46">IF(B41&gt;0,TDIST(B41/SQRT((1-B41^2)/47),47,2),TDIST(-B41/SQRT((1-B41^2)/47),32,2))</f>
        <v>0.7995137308350284</v>
      </c>
      <c r="C46" s="44">
        <f t="shared" si="21"/>
        <v>0.806122115805472</v>
      </c>
      <c r="D46" s="44">
        <f t="shared" si="21"/>
        <v>0.5220857244691937</v>
      </c>
      <c r="E46" s="44">
        <f t="shared" si="21"/>
        <v>0.8870496569943913</v>
      </c>
      <c r="F46" s="44"/>
      <c r="G46" s="44">
        <f t="shared" si="21"/>
        <v>0.8382280143342113</v>
      </c>
      <c r="H46" s="44">
        <f t="shared" si="21"/>
        <v>0.9577790059117751</v>
      </c>
      <c r="I46" s="44">
        <f t="shared" si="21"/>
        <v>0.6003353597186694</v>
      </c>
      <c r="J46" s="44">
        <f t="shared" si="21"/>
        <v>0.671989551500056</v>
      </c>
    </row>
    <row r="47" spans="1:10" ht="12.75">
      <c r="A47" s="90" t="s">
        <v>11</v>
      </c>
      <c r="B47" s="44">
        <f aca="true" t="shared" si="22" ref="B47:J47">IF(B42&gt;0,TDIST(B42/SQRT((1-B42^2)/32),32,2),TDIST(-B42/SQRT((1-B42^2)/32),32,2))</f>
        <v>0.37921647837558137</v>
      </c>
      <c r="C47" s="44">
        <f t="shared" si="22"/>
        <v>0.9533250239802169</v>
      </c>
      <c r="D47" s="44">
        <f t="shared" si="22"/>
        <v>0.31885256011106755</v>
      </c>
      <c r="E47" s="44">
        <f t="shared" si="22"/>
        <v>0.8348551482071206</v>
      </c>
      <c r="F47" s="44"/>
      <c r="G47" s="44">
        <f t="shared" si="22"/>
        <v>0.373942862697069</v>
      </c>
      <c r="H47" s="44">
        <f t="shared" si="22"/>
        <v>0.9192613876048924</v>
      </c>
      <c r="I47" s="44">
        <f t="shared" si="22"/>
        <v>0.18855694844051918</v>
      </c>
      <c r="J47" s="44">
        <f t="shared" si="22"/>
        <v>0.8427875537413683</v>
      </c>
    </row>
    <row r="48" spans="1:10" ht="12.75">
      <c r="A48" s="91" t="s">
        <v>12</v>
      </c>
      <c r="B48" s="44">
        <f aca="true" t="shared" si="23" ref="B48:J48">IF(B43&gt;0,TDIST(B43/SQRT((1-B43^2)/22),22,2),TDIST(-B43/SQRT((1-B43^2)/22),22,2))</f>
        <v>0.24817195900954891</v>
      </c>
      <c r="C48" s="44">
        <f t="shared" si="23"/>
        <v>0.24845179277843765</v>
      </c>
      <c r="D48" s="44">
        <f t="shared" si="23"/>
        <v>0.33759682025633087</v>
      </c>
      <c r="E48" s="44">
        <f t="shared" si="23"/>
        <v>0.4391644961573281</v>
      </c>
      <c r="F48" s="44"/>
      <c r="G48" s="44">
        <f t="shared" si="23"/>
        <v>0.20622248712619407</v>
      </c>
      <c r="H48" s="44">
        <f t="shared" si="23"/>
        <v>0.2111707891188015</v>
      </c>
      <c r="I48" s="44">
        <f t="shared" si="23"/>
        <v>0.21754185145621163</v>
      </c>
      <c r="J48" s="44">
        <f t="shared" si="23"/>
        <v>0.4375434997134381</v>
      </c>
    </row>
    <row r="49" spans="1:10" ht="12.75">
      <c r="A49" s="91" t="s">
        <v>13</v>
      </c>
      <c r="B49" s="44">
        <f aca="true" t="shared" si="24" ref="B49:J49">IF(B44&gt;0,TDIST(B44/SQRT((1-B44^2)/12),12,2),TDIST(-B44/SQRT((1-B44^2)/12),12,2))</f>
        <v>0.03508299589849304</v>
      </c>
      <c r="C49" s="44">
        <f t="shared" si="24"/>
        <v>0.10220397589458996</v>
      </c>
      <c r="D49" s="44">
        <f t="shared" si="24"/>
        <v>0.02672516180962875</v>
      </c>
      <c r="E49" s="44">
        <f t="shared" si="24"/>
        <v>0.1039764243936737</v>
      </c>
      <c r="F49" s="44"/>
      <c r="G49" s="44">
        <f t="shared" si="24"/>
        <v>0.03764342083552263</v>
      </c>
      <c r="H49" s="44">
        <f t="shared" si="24"/>
        <v>0.13855544028233535</v>
      </c>
      <c r="I49" s="44">
        <f t="shared" si="24"/>
        <v>0.011864040677944365</v>
      </c>
      <c r="J49" s="44">
        <f t="shared" si="24"/>
        <v>0.3866459236019346</v>
      </c>
    </row>
    <row r="50" spans="2:10" ht="12.75">
      <c r="B50" s="43"/>
      <c r="C50" s="43"/>
      <c r="D50" s="43"/>
      <c r="E50" s="43"/>
      <c r="F50" s="43"/>
      <c r="G50" s="38"/>
      <c r="H50" s="38"/>
      <c r="I50" s="38"/>
      <c r="J50" s="40"/>
    </row>
    <row r="51" spans="2:10" ht="12.75">
      <c r="B51" s="43"/>
      <c r="C51" s="43"/>
      <c r="D51" s="43"/>
      <c r="E51" s="43"/>
      <c r="F51" s="43"/>
      <c r="G51" s="38"/>
      <c r="H51" s="38"/>
      <c r="I51" s="38"/>
      <c r="J51" s="40"/>
    </row>
    <row r="52" spans="1:10" ht="13.5" thickBot="1">
      <c r="A52" s="130" t="s">
        <v>0</v>
      </c>
      <c r="B52" s="89"/>
      <c r="C52" s="89"/>
      <c r="D52" s="89"/>
      <c r="E52" s="89"/>
      <c r="F52" s="43"/>
      <c r="G52" s="54"/>
      <c r="H52" s="54"/>
      <c r="I52" s="54"/>
      <c r="J52" s="53"/>
    </row>
    <row r="53" spans="1:10" s="31" customFormat="1" ht="25.5" customHeight="1">
      <c r="A53" s="129"/>
      <c r="B53" s="41" t="str">
        <f>+B9</f>
        <v>All Property</v>
      </c>
      <c r="C53" s="41" t="s">
        <v>26</v>
      </c>
      <c r="D53" s="41" t="s">
        <v>27</v>
      </c>
      <c r="E53" s="41" t="s">
        <v>28</v>
      </c>
      <c r="F53" s="41"/>
      <c r="G53" s="41" t="str">
        <f>+G9</f>
        <v>All Property</v>
      </c>
      <c r="H53" s="41" t="str">
        <f>+H9</f>
        <v>Retail</v>
      </c>
      <c r="I53" s="41" t="str">
        <f>+I9</f>
        <v>Office</v>
      </c>
      <c r="J53" s="41" t="str">
        <f>+J9</f>
        <v>Industrial</v>
      </c>
    </row>
    <row r="54" spans="2:10" ht="12.75">
      <c r="B54" s="43"/>
      <c r="C54" s="43"/>
      <c r="D54" s="43"/>
      <c r="E54" s="43"/>
      <c r="F54" s="43"/>
      <c r="G54" s="43"/>
      <c r="H54" s="43"/>
      <c r="I54" s="43"/>
      <c r="J54" s="40"/>
    </row>
    <row r="55" spans="1:10" ht="12.75">
      <c r="A55" s="90">
        <v>1959</v>
      </c>
      <c r="B55" s="43">
        <v>11.1</v>
      </c>
      <c r="C55" s="43">
        <v>10.4</v>
      </c>
      <c r="D55" s="43">
        <v>9.9</v>
      </c>
      <c r="E55" s="43">
        <v>6.2</v>
      </c>
      <c r="F55" s="43"/>
      <c r="G55" s="151">
        <f>+B55</f>
        <v>11.1</v>
      </c>
      <c r="H55" s="151">
        <f>+C55</f>
        <v>10.4</v>
      </c>
      <c r="I55" s="151">
        <f>+D55</f>
        <v>9.9</v>
      </c>
      <c r="J55" s="151">
        <f>+E55</f>
        <v>6.2</v>
      </c>
    </row>
    <row r="56" spans="1:10" ht="12.75">
      <c r="A56" s="90">
        <v>1960</v>
      </c>
      <c r="B56" s="43">
        <v>9.8</v>
      </c>
      <c r="C56" s="43">
        <v>5.2</v>
      </c>
      <c r="D56" s="43">
        <v>5.4</v>
      </c>
      <c r="E56" s="43">
        <v>8.7</v>
      </c>
      <c r="F56" s="43"/>
      <c r="G56" s="151">
        <f aca="true" t="shared" si="25" ref="G56:G101">(B56-G$5*B55)/(1-G$5)</f>
        <v>9.290170485715093</v>
      </c>
      <c r="H56" s="151">
        <f aca="true" t="shared" si="26" ref="H56:H101">(C56-H$5*C55)/(1-H$5)</f>
        <v>3.759100218972998</v>
      </c>
      <c r="I56" s="151">
        <f aca="true" t="shared" si="27" ref="I56:I101">(D56-I$5*D55)/(1-I$5)</f>
        <v>2.945694585151807</v>
      </c>
      <c r="J56" s="151">
        <f aca="true" t="shared" si="28" ref="J56:J101">(E56-J$5*E55)/(1-J$5)</f>
        <v>10.04621194076777</v>
      </c>
    </row>
    <row r="57" spans="1:10" ht="12.75">
      <c r="A57" s="90">
        <v>1961</v>
      </c>
      <c r="B57" s="43">
        <v>6.3</v>
      </c>
      <c r="C57" s="43">
        <v>5.5</v>
      </c>
      <c r="D57" s="43">
        <v>6.3</v>
      </c>
      <c r="E57" s="43">
        <v>8.1</v>
      </c>
      <c r="F57" s="43"/>
      <c r="G57" s="151">
        <f t="shared" si="25"/>
        <v>4.927382076925243</v>
      </c>
      <c r="H57" s="151">
        <f t="shared" si="26"/>
        <v>5.583128833520788</v>
      </c>
      <c r="I57" s="151">
        <f t="shared" si="27"/>
        <v>6.790861082969639</v>
      </c>
      <c r="J57" s="151">
        <f t="shared" si="28"/>
        <v>7.7769091342157335</v>
      </c>
    </row>
    <row r="58" spans="1:10" ht="12.75">
      <c r="A58" s="90">
        <v>1962</v>
      </c>
      <c r="B58" s="43">
        <v>6.8</v>
      </c>
      <c r="C58" s="43">
        <v>3.8</v>
      </c>
      <c r="D58" s="43">
        <v>11.6</v>
      </c>
      <c r="E58" s="43">
        <v>5.6</v>
      </c>
      <c r="F58" s="43"/>
      <c r="G58" s="151">
        <f t="shared" si="25"/>
        <v>6.996088274724966</v>
      </c>
      <c r="H58" s="151">
        <f t="shared" si="26"/>
        <v>3.3289366100488644</v>
      </c>
      <c r="I58" s="151">
        <f t="shared" si="27"/>
        <v>14.490626377487871</v>
      </c>
      <c r="J58" s="151">
        <f t="shared" si="28"/>
        <v>4.253788059232227</v>
      </c>
    </row>
    <row r="59" spans="1:10" ht="12.75">
      <c r="A59" s="90">
        <v>1963</v>
      </c>
      <c r="B59" s="43">
        <v>10.3</v>
      </c>
      <c r="C59" s="43">
        <v>8.6</v>
      </c>
      <c r="D59" s="43">
        <v>7.8</v>
      </c>
      <c r="E59" s="43">
        <v>7.3</v>
      </c>
      <c r="F59" s="43"/>
      <c r="G59" s="151">
        <f t="shared" si="25"/>
        <v>11.672617923074759</v>
      </c>
      <c r="H59" s="151">
        <f t="shared" si="26"/>
        <v>9.930061336332615</v>
      </c>
      <c r="I59" s="151">
        <f t="shared" si="27"/>
        <v>5.727475427461527</v>
      </c>
      <c r="J59" s="151">
        <f t="shared" si="28"/>
        <v>8.215424119722085</v>
      </c>
    </row>
    <row r="60" spans="1:10" ht="12.75">
      <c r="A60" s="90">
        <v>1964</v>
      </c>
      <c r="B60" s="43">
        <v>8.3</v>
      </c>
      <c r="C60" s="43">
        <v>8.4</v>
      </c>
      <c r="D60" s="43">
        <v>10.6</v>
      </c>
      <c r="E60" s="43">
        <v>7.2</v>
      </c>
      <c r="F60" s="43"/>
      <c r="G60" s="151">
        <f t="shared" si="25"/>
        <v>7.51564690110014</v>
      </c>
      <c r="H60" s="151">
        <f t="shared" si="26"/>
        <v>8.344580777652808</v>
      </c>
      <c r="I60" s="151">
        <f t="shared" si="27"/>
        <v>12.127123369238877</v>
      </c>
      <c r="J60" s="151">
        <f t="shared" si="28"/>
        <v>7.14615152236929</v>
      </c>
    </row>
    <row r="61" spans="1:10" ht="12.75">
      <c r="A61" s="90">
        <v>1965</v>
      </c>
      <c r="B61" s="43">
        <v>4.7</v>
      </c>
      <c r="C61" s="43">
        <v>2.8</v>
      </c>
      <c r="D61" s="43">
        <v>9.9</v>
      </c>
      <c r="E61" s="43">
        <v>9.3</v>
      </c>
      <c r="F61" s="43"/>
      <c r="G61" s="151">
        <f t="shared" si="25"/>
        <v>3.28816442198025</v>
      </c>
      <c r="H61" s="151">
        <f t="shared" si="26"/>
        <v>1.248261774278613</v>
      </c>
      <c r="I61" s="151">
        <f t="shared" si="27"/>
        <v>9.518219157690284</v>
      </c>
      <c r="J61" s="151">
        <f t="shared" si="28"/>
        <v>10.43081803024493</v>
      </c>
    </row>
    <row r="62" spans="1:10" ht="12.75">
      <c r="A62" s="90">
        <v>1966</v>
      </c>
      <c r="B62" s="43">
        <v>3.1</v>
      </c>
      <c r="C62" s="43">
        <v>2.5</v>
      </c>
      <c r="D62" s="43">
        <v>3.4</v>
      </c>
      <c r="E62" s="43">
        <v>6.9</v>
      </c>
      <c r="F62" s="43"/>
      <c r="G62" s="151">
        <f t="shared" si="25"/>
        <v>2.472517520880111</v>
      </c>
      <c r="H62" s="151">
        <f t="shared" si="26"/>
        <v>2.4168711664792113</v>
      </c>
      <c r="I62" s="151">
        <f t="shared" si="27"/>
        <v>-0.14510782144739068</v>
      </c>
      <c r="J62" s="151">
        <f t="shared" si="28"/>
        <v>5.607636536862938</v>
      </c>
    </row>
    <row r="63" spans="1:10" ht="12.75">
      <c r="A63" s="90">
        <v>1967</v>
      </c>
      <c r="B63" s="43">
        <v>7.9</v>
      </c>
      <c r="C63" s="43">
        <v>9.7</v>
      </c>
      <c r="D63" s="43">
        <v>10.4</v>
      </c>
      <c r="E63" s="43">
        <v>15.6</v>
      </c>
      <c r="F63" s="43"/>
      <c r="G63" s="151">
        <f t="shared" si="25"/>
        <v>9.782447437359668</v>
      </c>
      <c r="H63" s="151">
        <f t="shared" si="26"/>
        <v>11.695092004498925</v>
      </c>
      <c r="I63" s="151">
        <f t="shared" si="27"/>
        <v>14.21780842309719</v>
      </c>
      <c r="J63" s="151">
        <f t="shared" si="28"/>
        <v>20.284817553871846</v>
      </c>
    </row>
    <row r="64" spans="1:10" ht="12.75">
      <c r="A64" s="90">
        <v>1968</v>
      </c>
      <c r="B64" s="43">
        <v>21.3</v>
      </c>
      <c r="C64" s="43">
        <v>16.8</v>
      </c>
      <c r="D64" s="43">
        <v>26.9</v>
      </c>
      <c r="E64" s="43">
        <v>17.4</v>
      </c>
      <c r="F64" s="43"/>
      <c r="G64" s="151">
        <f t="shared" si="25"/>
        <v>26.555165762629073</v>
      </c>
      <c r="H64" s="151">
        <f t="shared" si="26"/>
        <v>18.76738239332533</v>
      </c>
      <c r="I64" s="151">
        <f t="shared" si="27"/>
        <v>35.89911985444338</v>
      </c>
      <c r="J64" s="151">
        <f t="shared" si="28"/>
        <v>18.369272597352793</v>
      </c>
    </row>
    <row r="65" spans="1:10" ht="12.75">
      <c r="A65" s="90">
        <v>1969</v>
      </c>
      <c r="B65" s="43">
        <v>5.3</v>
      </c>
      <c r="C65" s="43">
        <v>3.2</v>
      </c>
      <c r="D65" s="43">
        <v>9.8</v>
      </c>
      <c r="E65" s="43">
        <v>-0.1</v>
      </c>
      <c r="F65" s="43"/>
      <c r="G65" s="151">
        <f t="shared" si="25"/>
        <v>-0.9748247911988905</v>
      </c>
      <c r="H65" s="151">
        <f t="shared" si="26"/>
        <v>-0.5685071196090815</v>
      </c>
      <c r="I65" s="151">
        <f t="shared" si="27"/>
        <v>0.47363942357686745</v>
      </c>
      <c r="J65" s="151">
        <f t="shared" si="28"/>
        <v>-9.523483585374407</v>
      </c>
    </row>
    <row r="66" spans="1:10" ht="12.75">
      <c r="A66" s="90">
        <v>1970</v>
      </c>
      <c r="B66" s="43">
        <v>24.6</v>
      </c>
      <c r="C66" s="43">
        <v>1.4</v>
      </c>
      <c r="D66" s="43">
        <v>53.3</v>
      </c>
      <c r="E66" s="43">
        <v>2.3</v>
      </c>
      <c r="F66" s="43"/>
      <c r="G66" s="151">
        <f t="shared" si="25"/>
        <v>32.16900740438367</v>
      </c>
      <c r="H66" s="151">
        <f t="shared" si="26"/>
        <v>0.9012269988752685</v>
      </c>
      <c r="I66" s="151">
        <f t="shared" si="27"/>
        <v>77.02495234353253</v>
      </c>
      <c r="J66" s="151">
        <f t="shared" si="28"/>
        <v>3.5923634631370613</v>
      </c>
    </row>
    <row r="67" spans="1:10" ht="12.75">
      <c r="A67" s="90">
        <v>1971</v>
      </c>
      <c r="B67" s="43">
        <v>16.11364</v>
      </c>
      <c r="C67" s="43">
        <v>7.94939</v>
      </c>
      <c r="D67" s="43">
        <v>19.17047</v>
      </c>
      <c r="E67" s="43">
        <v>11.75126</v>
      </c>
      <c r="F67" s="43"/>
      <c r="G67" s="151">
        <f t="shared" si="25"/>
        <v>12.785488617810088</v>
      </c>
      <c r="H67" s="151">
        <f t="shared" si="26"/>
        <v>9.76420050324239</v>
      </c>
      <c r="I67" s="151">
        <f t="shared" si="27"/>
        <v>0.5561832699502611</v>
      </c>
      <c r="J67" s="151">
        <f t="shared" si="28"/>
        <v>16.84061962692033</v>
      </c>
    </row>
    <row r="68" spans="1:10" ht="12.75">
      <c r="A68" s="90">
        <v>1972</v>
      </c>
      <c r="B68" s="43">
        <v>29.40153</v>
      </c>
      <c r="C68" s="43">
        <v>20.4041</v>
      </c>
      <c r="D68" s="43">
        <v>33.29909</v>
      </c>
      <c r="E68" s="43">
        <v>21.85712</v>
      </c>
      <c r="F68" s="43"/>
      <c r="G68" s="151">
        <f t="shared" si="25"/>
        <v>34.61272884967025</v>
      </c>
      <c r="H68" s="151">
        <f t="shared" si="26"/>
        <v>23.855251713798996</v>
      </c>
      <c r="I68" s="151">
        <f t="shared" si="27"/>
        <v>41.004856348962775</v>
      </c>
      <c r="J68" s="151">
        <f t="shared" si="28"/>
        <v>27.29897176149096</v>
      </c>
    </row>
    <row r="69" spans="1:10" ht="12.75">
      <c r="A69" s="90">
        <v>1973</v>
      </c>
      <c r="B69" s="43">
        <v>28.45172</v>
      </c>
      <c r="C69" s="43">
        <v>23.89596</v>
      </c>
      <c r="D69" s="43">
        <v>30.66782</v>
      </c>
      <c r="E69" s="43">
        <v>19.93379</v>
      </c>
      <c r="F69" s="43"/>
      <c r="G69" s="151">
        <f t="shared" si="25"/>
        <v>28.079226791566967</v>
      </c>
      <c r="H69" s="151">
        <f t="shared" si="26"/>
        <v>24.863540828726332</v>
      </c>
      <c r="I69" s="151">
        <f t="shared" si="27"/>
        <v>29.23272217579387</v>
      </c>
      <c r="J69" s="151">
        <f t="shared" si="28"/>
        <v>18.898106075185247</v>
      </c>
    </row>
    <row r="70" spans="1:10" ht="12.75">
      <c r="A70" s="90">
        <v>1974</v>
      </c>
      <c r="B70" s="43">
        <v>-15.94715</v>
      </c>
      <c r="C70" s="43">
        <v>-14.2215</v>
      </c>
      <c r="D70" s="43">
        <v>-18.54118</v>
      </c>
      <c r="E70" s="43">
        <v>-3.99448</v>
      </c>
      <c r="F70" s="43"/>
      <c r="G70" s="151">
        <f t="shared" si="25"/>
        <v>-33.35934563607605</v>
      </c>
      <c r="H70" s="151">
        <f t="shared" si="26"/>
        <v>-24.783699955251056</v>
      </c>
      <c r="I70" s="151">
        <f t="shared" si="27"/>
        <v>-45.379827813169946</v>
      </c>
      <c r="J70" s="151">
        <f t="shared" si="28"/>
        <v>-16.879489118366106</v>
      </c>
    </row>
    <row r="71" spans="1:10" ht="12.75">
      <c r="A71" s="90">
        <v>1975</v>
      </c>
      <c r="B71" s="43">
        <v>11.39156</v>
      </c>
      <c r="C71" s="43">
        <v>18.35537</v>
      </c>
      <c r="D71" s="43">
        <v>8.02632</v>
      </c>
      <c r="E71" s="43">
        <v>15.9588</v>
      </c>
      <c r="F71" s="43"/>
      <c r="G71" s="151">
        <f t="shared" si="25"/>
        <v>22.113160954212315</v>
      </c>
      <c r="H71" s="151">
        <f t="shared" si="26"/>
        <v>27.382294009527904</v>
      </c>
      <c r="I71" s="151">
        <f t="shared" si="27"/>
        <v>22.516266468662085</v>
      </c>
      <c r="J71" s="151">
        <f t="shared" si="28"/>
        <v>26.703337517393113</v>
      </c>
    </row>
    <row r="72" spans="1:10" ht="12.75">
      <c r="A72" s="90">
        <v>1976</v>
      </c>
      <c r="B72" s="43">
        <v>9.42893</v>
      </c>
      <c r="C72" s="43">
        <v>13.63366</v>
      </c>
      <c r="D72" s="43">
        <v>7.11045</v>
      </c>
      <c r="E72" s="43">
        <v>14.2408</v>
      </c>
      <c r="F72" s="43"/>
      <c r="G72" s="151">
        <f t="shared" si="25"/>
        <v>8.659232538753082</v>
      </c>
      <c r="H72" s="151">
        <f t="shared" si="26"/>
        <v>12.325292518255191</v>
      </c>
      <c r="I72" s="151">
        <f t="shared" si="27"/>
        <v>6.610933399933998</v>
      </c>
      <c r="J72" s="151">
        <f t="shared" si="28"/>
        <v>13.315683154304386</v>
      </c>
    </row>
    <row r="73" spans="1:10" ht="12.75">
      <c r="A73" s="90">
        <v>1977</v>
      </c>
      <c r="B73" s="43">
        <v>26.50082</v>
      </c>
      <c r="C73" s="43">
        <v>29.48022</v>
      </c>
      <c r="D73" s="43">
        <v>23.28457</v>
      </c>
      <c r="E73" s="43">
        <v>34.59811</v>
      </c>
      <c r="F73" s="43"/>
      <c r="G73" s="151">
        <f t="shared" si="25"/>
        <v>33.19601491278878</v>
      </c>
      <c r="H73" s="151">
        <f t="shared" si="26"/>
        <v>33.87124016039062</v>
      </c>
      <c r="I73" s="151">
        <f t="shared" si="27"/>
        <v>32.1059545103121</v>
      </c>
      <c r="J73" s="151">
        <f t="shared" si="28"/>
        <v>45.560211521564476</v>
      </c>
    </row>
    <row r="74" spans="1:10" ht="12.75">
      <c r="A74" s="90">
        <v>1978</v>
      </c>
      <c r="B74" s="43">
        <v>25.67549</v>
      </c>
      <c r="C74" s="43">
        <v>31.32652</v>
      </c>
      <c r="D74" s="43">
        <v>22.6341</v>
      </c>
      <c r="E74" s="43">
        <v>28.60534</v>
      </c>
      <c r="F74" s="43"/>
      <c r="G74" s="151">
        <f t="shared" si="25"/>
        <v>25.35181492844249</v>
      </c>
      <c r="H74" s="151">
        <f t="shared" si="26"/>
        <v>31.8381225510981</v>
      </c>
      <c r="I74" s="151">
        <f t="shared" si="27"/>
        <v>22.27933287928971</v>
      </c>
      <c r="J74" s="151">
        <f t="shared" si="28"/>
        <v>25.378324587090052</v>
      </c>
    </row>
    <row r="75" spans="1:10" ht="12.75">
      <c r="A75" s="90">
        <v>1979</v>
      </c>
      <c r="B75" s="43">
        <v>23.20035</v>
      </c>
      <c r="C75" s="43">
        <v>25.04114</v>
      </c>
      <c r="D75" s="43">
        <v>20.31324</v>
      </c>
      <c r="E75" s="43">
        <v>27.27522</v>
      </c>
      <c r="F75" s="43"/>
      <c r="G75" s="151">
        <f t="shared" si="25"/>
        <v>22.2296581353945</v>
      </c>
      <c r="H75" s="151">
        <f t="shared" si="26"/>
        <v>23.299485641217014</v>
      </c>
      <c r="I75" s="151">
        <f t="shared" si="27"/>
        <v>19.047440163310096</v>
      </c>
      <c r="J75" s="151">
        <f t="shared" si="28"/>
        <v>26.558970629338386</v>
      </c>
    </row>
    <row r="76" spans="1:10" ht="12.75">
      <c r="A76" s="90">
        <v>1980</v>
      </c>
      <c r="B76" s="43">
        <v>17.51072</v>
      </c>
      <c r="C76" s="43">
        <v>19.39573</v>
      </c>
      <c r="D76" s="43">
        <v>16.93112</v>
      </c>
      <c r="E76" s="43">
        <v>17.05061</v>
      </c>
      <c r="F76" s="43"/>
      <c r="G76" s="151">
        <f t="shared" si="25"/>
        <v>15.279380538953191</v>
      </c>
      <c r="H76" s="151">
        <f t="shared" si="26"/>
        <v>17.831408839844684</v>
      </c>
      <c r="I76" s="151">
        <f t="shared" si="27"/>
        <v>15.086507682296364</v>
      </c>
      <c r="J76" s="151">
        <f t="shared" si="28"/>
        <v>11.544813171322568</v>
      </c>
    </row>
    <row r="77" spans="1:10" ht="12.75">
      <c r="A77" s="90">
        <v>1981</v>
      </c>
      <c r="B77" s="43">
        <v>15.01714</v>
      </c>
      <c r="C77" s="43">
        <v>17.3134</v>
      </c>
      <c r="D77" s="43">
        <v>15.02231</v>
      </c>
      <c r="E77" s="43">
        <v>12.05317</v>
      </c>
      <c r="F77" s="43"/>
      <c r="G77" s="151">
        <f t="shared" si="25"/>
        <v>14.039216399822642</v>
      </c>
      <c r="H77" s="151">
        <f t="shared" si="26"/>
        <v>16.736394453648856</v>
      </c>
      <c r="I77" s="151">
        <f t="shared" si="27"/>
        <v>13.981242729129693</v>
      </c>
      <c r="J77" s="151">
        <f t="shared" si="28"/>
        <v>9.362124639491801</v>
      </c>
    </row>
    <row r="78" spans="1:10" ht="12.75">
      <c r="A78" s="90">
        <v>1982</v>
      </c>
      <c r="B78" s="43">
        <v>7.5303</v>
      </c>
      <c r="C78" s="43">
        <v>10.38065</v>
      </c>
      <c r="D78" s="43">
        <v>6.73289</v>
      </c>
      <c r="E78" s="43">
        <v>5.70321</v>
      </c>
      <c r="F78" s="43"/>
      <c r="G78" s="151">
        <f t="shared" si="25"/>
        <v>4.594136922516283</v>
      </c>
      <c r="H78" s="151">
        <f t="shared" si="26"/>
        <v>8.459611931362508</v>
      </c>
      <c r="I78" s="151">
        <f t="shared" si="27"/>
        <v>2.2118303573442435</v>
      </c>
      <c r="J78" s="151">
        <f t="shared" si="28"/>
        <v>2.283853209840911</v>
      </c>
    </row>
    <row r="79" spans="1:10" ht="12.75">
      <c r="A79" s="90">
        <v>1983</v>
      </c>
      <c r="B79" s="43">
        <v>7.58464</v>
      </c>
      <c r="C79" s="43">
        <v>12.26833</v>
      </c>
      <c r="D79" s="43">
        <v>5.52064</v>
      </c>
      <c r="E79" s="43">
        <v>6.07342</v>
      </c>
      <c r="F79" s="43"/>
      <c r="G79" s="151">
        <f t="shared" si="25"/>
        <v>7.60595087369711</v>
      </c>
      <c r="H79" s="151">
        <f t="shared" si="26"/>
        <v>12.79139878820174</v>
      </c>
      <c r="I79" s="151">
        <f t="shared" si="27"/>
        <v>4.859477391300063</v>
      </c>
      <c r="J79" s="151">
        <f t="shared" si="28"/>
        <v>6.272772449036654</v>
      </c>
    </row>
    <row r="80" spans="1:10" ht="12.75">
      <c r="A80" s="90">
        <v>1984</v>
      </c>
      <c r="B80" s="43">
        <v>8.85436</v>
      </c>
      <c r="C80" s="43">
        <v>13.79093</v>
      </c>
      <c r="D80" s="43">
        <v>6.9323</v>
      </c>
      <c r="E80" s="43">
        <v>5.9985</v>
      </c>
      <c r="F80" s="43"/>
      <c r="G80" s="151">
        <f t="shared" si="25"/>
        <v>9.352314408367565</v>
      </c>
      <c r="H80" s="151">
        <f t="shared" si="26"/>
        <v>14.212836539729174</v>
      </c>
      <c r="I80" s="151">
        <f t="shared" si="27"/>
        <v>7.702221062649911</v>
      </c>
      <c r="J80" s="151">
        <f t="shared" si="28"/>
        <v>5.958156720559071</v>
      </c>
    </row>
    <row r="81" spans="1:10" ht="12.75">
      <c r="A81" s="90">
        <v>1985</v>
      </c>
      <c r="B81" s="43">
        <v>8.32599</v>
      </c>
      <c r="C81" s="43">
        <v>12.66961</v>
      </c>
      <c r="D81" s="43">
        <v>7.7173</v>
      </c>
      <c r="E81" s="43">
        <v>3.53486</v>
      </c>
      <c r="F81" s="43"/>
      <c r="G81" s="151">
        <f t="shared" si="25"/>
        <v>8.11877567656714</v>
      </c>
      <c r="H81" s="151">
        <f t="shared" si="26"/>
        <v>12.35889658798823</v>
      </c>
      <c r="I81" s="151">
        <f t="shared" si="27"/>
        <v>8.145439944590185</v>
      </c>
      <c r="J81" s="151">
        <f t="shared" si="28"/>
        <v>2.208227365698754</v>
      </c>
    </row>
    <row r="82" spans="1:10" ht="12.75">
      <c r="A82" s="90">
        <v>1986</v>
      </c>
      <c r="B82" s="43">
        <v>11.31609</v>
      </c>
      <c r="C82" s="43">
        <v>11.7089</v>
      </c>
      <c r="D82" s="43">
        <v>12.13716</v>
      </c>
      <c r="E82" s="43">
        <v>9.24032</v>
      </c>
      <c r="F82" s="43"/>
      <c r="G82" s="151">
        <f t="shared" si="25"/>
        <v>12.48873710051024</v>
      </c>
      <c r="H82" s="151">
        <f t="shared" si="26"/>
        <v>11.442690994494143</v>
      </c>
      <c r="I82" s="151">
        <f t="shared" si="27"/>
        <v>14.547756962415765</v>
      </c>
      <c r="J82" s="151">
        <f t="shared" si="28"/>
        <v>12.31262335182916</v>
      </c>
    </row>
    <row r="83" spans="1:10" ht="12.75">
      <c r="A83" s="90">
        <v>1987</v>
      </c>
      <c r="B83" s="43">
        <v>26.04335</v>
      </c>
      <c r="C83" s="43">
        <v>20.83998</v>
      </c>
      <c r="D83" s="43">
        <v>30.74473</v>
      </c>
      <c r="E83" s="43">
        <v>25.09762</v>
      </c>
      <c r="F83" s="43"/>
      <c r="G83" s="151">
        <f t="shared" si="25"/>
        <v>31.81903600965199</v>
      </c>
      <c r="H83" s="151">
        <f t="shared" si="26"/>
        <v>23.370166763950007</v>
      </c>
      <c r="I83" s="151">
        <f t="shared" si="27"/>
        <v>40.89332106848152</v>
      </c>
      <c r="J83" s="151">
        <f t="shared" si="28"/>
        <v>33.63653464333472</v>
      </c>
    </row>
    <row r="84" spans="1:10" ht="12.75">
      <c r="A84" s="90">
        <v>1988</v>
      </c>
      <c r="B84" s="43">
        <v>29.58846</v>
      </c>
      <c r="C84" s="43">
        <v>24.84829</v>
      </c>
      <c r="D84" s="43">
        <v>31.13713</v>
      </c>
      <c r="E84" s="43">
        <v>39.30866</v>
      </c>
      <c r="F84" s="43"/>
      <c r="G84" s="151">
        <f t="shared" si="25"/>
        <v>30.97876900722045</v>
      </c>
      <c r="H84" s="151">
        <f t="shared" si="26"/>
        <v>25.95897711563237</v>
      </c>
      <c r="I84" s="151">
        <f t="shared" si="27"/>
        <v>31.351145432174764</v>
      </c>
      <c r="J84" s="151">
        <f t="shared" si="28"/>
        <v>46.96108869549139</v>
      </c>
    </row>
    <row r="85" spans="1:10" ht="12.75">
      <c r="A85" s="90">
        <v>1989</v>
      </c>
      <c r="B85" s="43">
        <v>15.42666</v>
      </c>
      <c r="C85" s="43">
        <v>9.85151</v>
      </c>
      <c r="D85" s="43">
        <v>16.5423</v>
      </c>
      <c r="E85" s="43">
        <v>28.68267</v>
      </c>
      <c r="F85" s="43"/>
      <c r="G85" s="151">
        <f t="shared" si="25"/>
        <v>9.872734141999972</v>
      </c>
      <c r="H85" s="151">
        <f t="shared" si="26"/>
        <v>5.69596057344036</v>
      </c>
      <c r="I85" s="151">
        <f t="shared" si="27"/>
        <v>8.582262156046925</v>
      </c>
      <c r="J85" s="151">
        <f t="shared" si="28"/>
        <v>22.960736151808423</v>
      </c>
    </row>
    <row r="86" spans="1:10" ht="12.75">
      <c r="A86" s="90">
        <v>1990</v>
      </c>
      <c r="B86" s="43">
        <v>-8.4526</v>
      </c>
      <c r="C86" s="43">
        <v>-8.2477</v>
      </c>
      <c r="D86" s="43">
        <v>-9.90032</v>
      </c>
      <c r="E86" s="43">
        <v>-3.49798</v>
      </c>
      <c r="F86" s="43"/>
      <c r="G86" s="151">
        <f t="shared" si="25"/>
        <v>-17.817485790217752</v>
      </c>
      <c r="H86" s="151">
        <f t="shared" si="26"/>
        <v>-13.262920716492637</v>
      </c>
      <c r="I86" s="151">
        <f t="shared" si="27"/>
        <v>-24.32215676639403</v>
      </c>
      <c r="J86" s="151">
        <f t="shared" si="28"/>
        <v>-20.82677011666737</v>
      </c>
    </row>
    <row r="87" spans="1:10" ht="12.75">
      <c r="A87" s="90">
        <v>1991</v>
      </c>
      <c r="B87" s="43">
        <v>-3.13379</v>
      </c>
      <c r="C87" s="43">
        <v>3.3591</v>
      </c>
      <c r="D87" s="43">
        <v>-10.82544</v>
      </c>
      <c r="E87" s="43">
        <v>9.10657</v>
      </c>
      <c r="F87" s="43"/>
      <c r="G87" s="151">
        <f t="shared" si="25"/>
        <v>-1.0478774470202143</v>
      </c>
      <c r="H87" s="151">
        <f t="shared" si="26"/>
        <v>6.575299149696962</v>
      </c>
      <c r="I87" s="151">
        <f t="shared" si="27"/>
        <v>-11.330001561196525</v>
      </c>
      <c r="J87" s="151">
        <f t="shared" si="28"/>
        <v>15.893928287201772</v>
      </c>
    </row>
    <row r="88" spans="1:10" ht="12.75">
      <c r="A88" s="90">
        <v>1992</v>
      </c>
      <c r="B88" s="43">
        <v>-1.67261</v>
      </c>
      <c r="C88" s="43">
        <v>3.57037</v>
      </c>
      <c r="D88" s="43">
        <v>-7.1859</v>
      </c>
      <c r="E88" s="43">
        <v>1.38874</v>
      </c>
      <c r="F88" s="43"/>
      <c r="G88" s="151">
        <f t="shared" si="25"/>
        <v>-1.0995694694747504</v>
      </c>
      <c r="H88" s="151">
        <f t="shared" si="26"/>
        <v>3.6289120955264567</v>
      </c>
      <c r="I88" s="151">
        <f t="shared" si="27"/>
        <v>-5.20089050454298</v>
      </c>
      <c r="J88" s="151">
        <f t="shared" si="28"/>
        <v>-2.7671939611262957</v>
      </c>
    </row>
    <row r="89" spans="1:10" ht="12.75">
      <c r="A89" s="90">
        <v>1993</v>
      </c>
      <c r="B89" s="43">
        <v>20.25667</v>
      </c>
      <c r="C89" s="43">
        <v>20.74919</v>
      </c>
      <c r="D89" s="43">
        <v>19.29772</v>
      </c>
      <c r="E89" s="43">
        <v>21.23303</v>
      </c>
      <c r="F89" s="43"/>
      <c r="G89" s="151">
        <f t="shared" si="25"/>
        <v>28.856819362321378</v>
      </c>
      <c r="H89" s="151">
        <f t="shared" si="26"/>
        <v>25.50937422621197</v>
      </c>
      <c r="I89" s="151">
        <f t="shared" si="27"/>
        <v>33.74191821572932</v>
      </c>
      <c r="J89" s="151">
        <f t="shared" si="28"/>
        <v>31.9188780616234</v>
      </c>
    </row>
    <row r="90" spans="1:10" ht="12.75">
      <c r="A90" s="90">
        <v>1994</v>
      </c>
      <c r="B90" s="43">
        <v>11.90525</v>
      </c>
      <c r="C90" s="43">
        <v>12.94014</v>
      </c>
      <c r="D90" s="43">
        <v>10.6836</v>
      </c>
      <c r="E90" s="43">
        <v>11.7572</v>
      </c>
      <c r="F90" s="43"/>
      <c r="G90" s="151">
        <f t="shared" si="25"/>
        <v>8.630018921392862</v>
      </c>
      <c r="H90" s="151">
        <f t="shared" si="26"/>
        <v>10.776282608648286</v>
      </c>
      <c r="I90" s="151">
        <f t="shared" si="27"/>
        <v>5.985448586632863</v>
      </c>
      <c r="J90" s="151">
        <f t="shared" si="28"/>
        <v>6.6546098021258056</v>
      </c>
    </row>
    <row r="91" spans="1:10" ht="12.75">
      <c r="A91" s="90">
        <v>1995</v>
      </c>
      <c r="B91" s="43">
        <v>3.5929</v>
      </c>
      <c r="C91" s="43">
        <v>4.06572</v>
      </c>
      <c r="D91" s="43">
        <v>2.99979</v>
      </c>
      <c r="E91" s="43">
        <v>2.77043</v>
      </c>
      <c r="F91" s="43"/>
      <c r="G91" s="151">
        <f t="shared" si="25"/>
        <v>0.33299125917986916</v>
      </c>
      <c r="H91" s="151">
        <f t="shared" si="26"/>
        <v>1.6066527240881452</v>
      </c>
      <c r="I91" s="151">
        <f t="shared" si="27"/>
        <v>-1.1909692199254878</v>
      </c>
      <c r="J91" s="151">
        <f t="shared" si="28"/>
        <v>-2.0688088331734376</v>
      </c>
    </row>
    <row r="92" spans="1:10" ht="12.75">
      <c r="A92" s="90">
        <v>1996</v>
      </c>
      <c r="B92" s="43">
        <v>10.09678</v>
      </c>
      <c r="C92" s="43">
        <v>11.76129</v>
      </c>
      <c r="D92" s="43">
        <v>7.54987</v>
      </c>
      <c r="E92" s="43">
        <v>10.31528</v>
      </c>
      <c r="F92" s="43"/>
      <c r="G92" s="151">
        <f t="shared" si="25"/>
        <v>12.647449216436417</v>
      </c>
      <c r="H92" s="151">
        <f t="shared" si="26"/>
        <v>13.893702524591916</v>
      </c>
      <c r="I92" s="151">
        <f t="shared" si="27"/>
        <v>10.031489107109438</v>
      </c>
      <c r="J92" s="151">
        <f t="shared" si="28"/>
        <v>14.37806686452069</v>
      </c>
    </row>
    <row r="93" spans="1:10" ht="12.75">
      <c r="A93" s="90">
        <v>1997</v>
      </c>
      <c r="B93" s="43">
        <v>16.92577</v>
      </c>
      <c r="C93" s="43">
        <v>18.4578</v>
      </c>
      <c r="D93" s="43">
        <v>14.53757</v>
      </c>
      <c r="E93" s="43">
        <v>16.37532</v>
      </c>
      <c r="F93" s="43"/>
      <c r="G93" s="151">
        <f t="shared" si="25"/>
        <v>19.60393973442808</v>
      </c>
      <c r="H93" s="151">
        <f t="shared" si="26"/>
        <v>20.31337688320098</v>
      </c>
      <c r="I93" s="151">
        <f t="shared" si="27"/>
        <v>18.348669988296606</v>
      </c>
      <c r="J93" s="151">
        <f t="shared" si="28"/>
        <v>19.638559283812132</v>
      </c>
    </row>
    <row r="94" spans="1:10" ht="12.75">
      <c r="A94" s="90">
        <v>1998</v>
      </c>
      <c r="B94" s="43">
        <v>11.73847</v>
      </c>
      <c r="C94" s="43">
        <v>11.55257</v>
      </c>
      <c r="D94" s="43">
        <v>11.60521</v>
      </c>
      <c r="E94" s="43">
        <v>13.19391</v>
      </c>
      <c r="F94" s="43"/>
      <c r="G94" s="151">
        <f t="shared" si="25"/>
        <v>9.704132585038375</v>
      </c>
      <c r="H94" s="151">
        <f t="shared" si="26"/>
        <v>9.639157616357483</v>
      </c>
      <c r="I94" s="151">
        <f t="shared" si="27"/>
        <v>10.00589732749239</v>
      </c>
      <c r="J94" s="151">
        <f t="shared" si="28"/>
        <v>11.480769147808802</v>
      </c>
    </row>
    <row r="95" spans="1:10" ht="12.75">
      <c r="A95" s="90">
        <v>1999</v>
      </c>
      <c r="B95" s="43">
        <v>14.66541</v>
      </c>
      <c r="C95" s="43">
        <v>13.93044</v>
      </c>
      <c r="D95" s="43">
        <v>14.2506</v>
      </c>
      <c r="E95" s="43">
        <v>17.54563</v>
      </c>
      <c r="F95" s="43"/>
      <c r="G95" s="151">
        <f t="shared" si="25"/>
        <v>15.813287229646981</v>
      </c>
      <c r="H95" s="151">
        <f t="shared" si="26"/>
        <v>14.58933853121359</v>
      </c>
      <c r="I95" s="151">
        <f t="shared" si="27"/>
        <v>15.693398889196727</v>
      </c>
      <c r="J95" s="151">
        <f t="shared" si="28"/>
        <v>19.88896497075117</v>
      </c>
    </row>
    <row r="96" spans="1:10" ht="12.75">
      <c r="A96" s="90">
        <v>2000</v>
      </c>
      <c r="B96" s="43">
        <v>10.48767</v>
      </c>
      <c r="C96" s="43">
        <v>6.71896</v>
      </c>
      <c r="D96" s="43">
        <v>15.38092</v>
      </c>
      <c r="E96" s="43">
        <v>13.64579</v>
      </c>
      <c r="F96" s="43"/>
      <c r="G96" s="151">
        <f t="shared" si="25"/>
        <v>8.849258342301047</v>
      </c>
      <c r="H96" s="151">
        <f t="shared" si="26"/>
        <v>4.720686932138345</v>
      </c>
      <c r="I96" s="151">
        <f t="shared" si="27"/>
        <v>15.997397888113602</v>
      </c>
      <c r="J96" s="151">
        <f t="shared" si="28"/>
        <v>11.545785529966484</v>
      </c>
    </row>
    <row r="97" spans="1:10" ht="12.75">
      <c r="A97" s="90">
        <v>2001</v>
      </c>
      <c r="B97" s="43">
        <v>6.70543</v>
      </c>
      <c r="C97" s="43">
        <v>5.6089</v>
      </c>
      <c r="D97" s="43">
        <v>7.68604</v>
      </c>
      <c r="E97" s="43">
        <v>8.29365</v>
      </c>
      <c r="F97" s="43"/>
      <c r="G97" s="151">
        <f t="shared" si="25"/>
        <v>5.222124167608494</v>
      </c>
      <c r="H97" s="151">
        <f t="shared" si="26"/>
        <v>5.301306690206379</v>
      </c>
      <c r="I97" s="151">
        <f t="shared" si="27"/>
        <v>3.4892431887539868</v>
      </c>
      <c r="J97" s="151">
        <f t="shared" si="28"/>
        <v>5.411604089335668</v>
      </c>
    </row>
    <row r="98" spans="1:10" ht="12.75">
      <c r="A98" s="90">
        <v>2002</v>
      </c>
      <c r="B98" s="43">
        <v>9.66001</v>
      </c>
      <c r="C98" s="43">
        <v>14.02633</v>
      </c>
      <c r="D98" s="43">
        <v>3.3009</v>
      </c>
      <c r="E98" s="43">
        <v>10.73215</v>
      </c>
      <c r="F98" s="43"/>
      <c r="G98" s="151">
        <f t="shared" si="25"/>
        <v>10.818726989473776</v>
      </c>
      <c r="H98" s="151">
        <f t="shared" si="26"/>
        <v>16.35876712380964</v>
      </c>
      <c r="I98" s="151">
        <f t="shared" si="27"/>
        <v>0.909239367362799</v>
      </c>
      <c r="J98" s="151">
        <f t="shared" si="28"/>
        <v>12.045245127024886</v>
      </c>
    </row>
    <row r="99" spans="1:10" ht="12.75">
      <c r="A99" s="90">
        <v>2003</v>
      </c>
      <c r="B99" s="43">
        <v>10.91441</v>
      </c>
      <c r="C99" s="43">
        <v>15.45439</v>
      </c>
      <c r="D99" s="43">
        <v>3.18483</v>
      </c>
      <c r="E99" s="43">
        <v>11.23202</v>
      </c>
      <c r="F99" s="43"/>
      <c r="G99" s="151">
        <f t="shared" si="25"/>
        <v>11.406356263629995</v>
      </c>
      <c r="H99" s="151">
        <f t="shared" si="26"/>
        <v>15.850099873325656</v>
      </c>
      <c r="I99" s="151">
        <f t="shared" si="27"/>
        <v>3.1215252823330157</v>
      </c>
      <c r="J99" s="151">
        <f t="shared" si="28"/>
        <v>11.501192385132635</v>
      </c>
    </row>
    <row r="100" spans="1:10" ht="12.75">
      <c r="A100" s="90">
        <v>2004</v>
      </c>
      <c r="B100" s="43">
        <v>18.33464</v>
      </c>
      <c r="C100" s="43">
        <v>20.46</v>
      </c>
      <c r="D100" s="43">
        <v>15.15174</v>
      </c>
      <c r="E100" s="43">
        <v>16.87169</v>
      </c>
      <c r="F100" s="43"/>
      <c r="G100" s="151">
        <f t="shared" si="25"/>
        <v>21.24468019752486</v>
      </c>
      <c r="H100" s="151">
        <f t="shared" si="26"/>
        <v>21.84703506786665</v>
      </c>
      <c r="I100" s="151">
        <f t="shared" si="27"/>
        <v>21.678507113778</v>
      </c>
      <c r="J100" s="151">
        <f t="shared" si="28"/>
        <v>19.908566438395916</v>
      </c>
    </row>
    <row r="101" spans="1:10" ht="12.75">
      <c r="A101" s="90">
        <v>2005</v>
      </c>
      <c r="B101" s="43">
        <v>19.1</v>
      </c>
      <c r="C101" s="43">
        <v>18.9</v>
      </c>
      <c r="D101" s="43">
        <v>20.3</v>
      </c>
      <c r="E101" s="43">
        <v>18.4</v>
      </c>
      <c r="F101" s="43"/>
      <c r="G101" s="151">
        <f t="shared" si="25"/>
        <v>19.400156243887004</v>
      </c>
      <c r="H101" s="151">
        <f t="shared" si="26"/>
        <v>18.467730065691896</v>
      </c>
      <c r="I101" s="151">
        <f t="shared" si="27"/>
        <v>23.107867198899193</v>
      </c>
      <c r="J101" s="151">
        <f t="shared" si="28"/>
        <v>19.222971668477918</v>
      </c>
    </row>
    <row r="102" spans="2:10" ht="12.75">
      <c r="B102" s="43"/>
      <c r="C102" s="43"/>
      <c r="D102" s="43"/>
      <c r="E102" s="43"/>
      <c r="F102" s="43"/>
      <c r="G102" s="43"/>
      <c r="H102" s="43"/>
      <c r="I102" s="43"/>
      <c r="J102" s="43"/>
    </row>
    <row r="103" spans="1:10" ht="13.5" thickBot="1">
      <c r="A103" s="127" t="s">
        <v>114</v>
      </c>
      <c r="B103" s="89"/>
      <c r="C103" s="89"/>
      <c r="D103" s="89"/>
      <c r="E103" s="89"/>
      <c r="F103" s="43"/>
      <c r="G103" s="54"/>
      <c r="H103" s="54"/>
      <c r="I103" s="54"/>
      <c r="J103" s="53"/>
    </row>
    <row r="104" spans="1:10" ht="25.5">
      <c r="A104" s="129"/>
      <c r="B104" s="41" t="str">
        <f>+B9</f>
        <v>All Property</v>
      </c>
      <c r="C104" s="41" t="str">
        <f>+C9</f>
        <v>Retail</v>
      </c>
      <c r="D104" s="41" t="str">
        <f>+D9</f>
        <v>Office</v>
      </c>
      <c r="E104" s="41" t="str">
        <f>+E9</f>
        <v>Industrial</v>
      </c>
      <c r="F104" s="41"/>
      <c r="G104" s="41" t="str">
        <f>+G9</f>
        <v>All Property</v>
      </c>
      <c r="H104" s="41" t="str">
        <f>+H9</f>
        <v>Retail</v>
      </c>
      <c r="I104" s="41" t="str">
        <f>+I9</f>
        <v>Office</v>
      </c>
      <c r="J104" s="41" t="str">
        <f>+J9</f>
        <v>Industrial</v>
      </c>
    </row>
    <row r="105" spans="1:10" ht="12.75">
      <c r="A105" s="90">
        <v>1958</v>
      </c>
      <c r="B105" s="43">
        <v>100</v>
      </c>
      <c r="C105" s="43">
        <v>100</v>
      </c>
      <c r="D105" s="43">
        <v>100</v>
      </c>
      <c r="E105" s="43">
        <v>100</v>
      </c>
      <c r="F105" s="43"/>
      <c r="G105" s="43">
        <v>100</v>
      </c>
      <c r="H105" s="43">
        <v>100</v>
      </c>
      <c r="I105" s="43">
        <v>100</v>
      </c>
      <c r="J105" s="43">
        <v>100</v>
      </c>
    </row>
    <row r="106" spans="1:10" ht="12.75">
      <c r="A106" s="90">
        <v>1959</v>
      </c>
      <c r="B106" s="43">
        <f aca="true" t="shared" si="29" ref="B106:B152">+B105*(1+B55/100)</f>
        <v>111.1</v>
      </c>
      <c r="C106" s="43">
        <f aca="true" t="shared" si="30" ref="C106:C152">+C105*(1+C55/100)</f>
        <v>110.4</v>
      </c>
      <c r="D106" s="43">
        <f aca="true" t="shared" si="31" ref="D106:D152">+D105*(1+D55/100)</f>
        <v>109.89999999999999</v>
      </c>
      <c r="E106" s="43">
        <f aca="true" t="shared" si="32" ref="E106:E152">+E105*(1+E55/100)</f>
        <v>106.2</v>
      </c>
      <c r="F106" s="43"/>
      <c r="G106" s="43">
        <f aca="true" t="shared" si="33" ref="G106:G152">+G105*(1+G55/100)</f>
        <v>111.1</v>
      </c>
      <c r="H106" s="43">
        <f aca="true" t="shared" si="34" ref="H106:H152">+H105*(1+H55/100)</f>
        <v>110.4</v>
      </c>
      <c r="I106" s="43">
        <f aca="true" t="shared" si="35" ref="I106:I152">+I105*(1+I55/100)</f>
        <v>109.89999999999999</v>
      </c>
      <c r="J106" s="43">
        <f aca="true" t="shared" si="36" ref="J106:J152">+J105*(1+J55/100)</f>
        <v>106.2</v>
      </c>
    </row>
    <row r="107" spans="1:10" ht="12.75">
      <c r="A107" s="90">
        <v>1960</v>
      </c>
      <c r="B107" s="43">
        <f t="shared" si="29"/>
        <v>121.98780000000001</v>
      </c>
      <c r="C107" s="43">
        <f t="shared" si="30"/>
        <v>116.14080000000001</v>
      </c>
      <c r="D107" s="43">
        <f t="shared" si="31"/>
        <v>115.8346</v>
      </c>
      <c r="E107" s="43">
        <f t="shared" si="32"/>
        <v>115.4394</v>
      </c>
      <c r="F107" s="43"/>
      <c r="G107" s="43">
        <f t="shared" si="33"/>
        <v>121.42137940962947</v>
      </c>
      <c r="H107" s="43">
        <f t="shared" si="34"/>
        <v>114.55004664174618</v>
      </c>
      <c r="I107" s="43">
        <f t="shared" si="35"/>
        <v>113.13731834908184</v>
      </c>
      <c r="J107" s="43">
        <f t="shared" si="36"/>
        <v>116.86907708109538</v>
      </c>
    </row>
    <row r="108" spans="1:10" ht="12.75">
      <c r="A108" s="90">
        <v>1961</v>
      </c>
      <c r="B108" s="43">
        <f t="shared" si="29"/>
        <v>129.6730314</v>
      </c>
      <c r="C108" s="43">
        <f t="shared" si="30"/>
        <v>122.52854400000001</v>
      </c>
      <c r="D108" s="43">
        <f t="shared" si="31"/>
        <v>123.13217979999999</v>
      </c>
      <c r="E108" s="43">
        <f t="shared" si="32"/>
        <v>124.7899914</v>
      </c>
      <c r="F108" s="43"/>
      <c r="G108" s="43">
        <f t="shared" si="33"/>
        <v>127.40427469621496</v>
      </c>
      <c r="H108" s="43">
        <f t="shared" si="34"/>
        <v>120.94552332461302</v>
      </c>
      <c r="I108" s="43">
        <f t="shared" si="35"/>
        <v>120.82031647116511</v>
      </c>
      <c r="J108" s="43">
        <f t="shared" si="36"/>
        <v>125.95787901168872</v>
      </c>
    </row>
    <row r="109" spans="1:10" ht="12.75">
      <c r="A109" s="90">
        <v>1962</v>
      </c>
      <c r="B109" s="43">
        <f t="shared" si="29"/>
        <v>138.49079753520002</v>
      </c>
      <c r="C109" s="43">
        <f t="shared" si="30"/>
        <v>127.18462867200002</v>
      </c>
      <c r="D109" s="43">
        <f t="shared" si="31"/>
        <v>137.4155126568</v>
      </c>
      <c r="E109" s="43">
        <f t="shared" si="32"/>
        <v>131.7782309184</v>
      </c>
      <c r="F109" s="43"/>
      <c r="G109" s="43">
        <f t="shared" si="33"/>
        <v>136.31759021973522</v>
      </c>
      <c r="H109" s="43">
        <f t="shared" si="34"/>
        <v>124.97172312878126</v>
      </c>
      <c r="I109" s="43">
        <f t="shared" si="35"/>
        <v>138.32793711910008</v>
      </c>
      <c r="J109" s="43">
        <f t="shared" si="36"/>
        <v>131.3158602287501</v>
      </c>
    </row>
    <row r="110" spans="1:10" ht="12.75">
      <c r="A110" s="90">
        <v>1963</v>
      </c>
      <c r="B110" s="43">
        <f t="shared" si="29"/>
        <v>152.7553496813256</v>
      </c>
      <c r="C110" s="43">
        <f t="shared" si="30"/>
        <v>138.12250673779204</v>
      </c>
      <c r="D110" s="43">
        <f t="shared" si="31"/>
        <v>148.1339226440304</v>
      </c>
      <c r="E110" s="43">
        <f t="shared" si="32"/>
        <v>141.3980417754432</v>
      </c>
      <c r="F110" s="43"/>
      <c r="G110" s="43">
        <f t="shared" si="33"/>
        <v>152.22942168802766</v>
      </c>
      <c r="H110" s="43">
        <f t="shared" si="34"/>
        <v>137.381491888541</v>
      </c>
      <c r="I110" s="43">
        <f t="shared" si="35"/>
        <v>146.25063572691099</v>
      </c>
      <c r="J110" s="43">
        <f t="shared" si="36"/>
        <v>142.1040150830034</v>
      </c>
    </row>
    <row r="111" spans="1:10" ht="12.75">
      <c r="A111" s="90">
        <v>1964</v>
      </c>
      <c r="B111" s="43">
        <f t="shared" si="29"/>
        <v>165.43404370487562</v>
      </c>
      <c r="C111" s="43">
        <f t="shared" si="30"/>
        <v>149.72479730376656</v>
      </c>
      <c r="D111" s="43">
        <f t="shared" si="31"/>
        <v>163.83611844429765</v>
      </c>
      <c r="E111" s="43">
        <f t="shared" si="32"/>
        <v>151.5787007832751</v>
      </c>
      <c r="F111" s="43"/>
      <c r="G111" s="43">
        <f t="shared" si="33"/>
        <v>163.67044750168657</v>
      </c>
      <c r="H111" s="43">
        <f t="shared" si="34"/>
        <v>148.84540145272484</v>
      </c>
      <c r="I111" s="43">
        <f t="shared" si="35"/>
        <v>163.98663074980962</v>
      </c>
      <c r="J111" s="43">
        <f t="shared" si="36"/>
        <v>152.25898332020532</v>
      </c>
    </row>
    <row r="112" spans="1:10" ht="12.75">
      <c r="A112" s="90">
        <v>1965</v>
      </c>
      <c r="B112" s="43">
        <f t="shared" si="29"/>
        <v>173.20944375900476</v>
      </c>
      <c r="C112" s="43">
        <f t="shared" si="30"/>
        <v>153.91709162827203</v>
      </c>
      <c r="D112" s="43">
        <f t="shared" si="31"/>
        <v>180.05589417028312</v>
      </c>
      <c r="E112" s="43">
        <f t="shared" si="32"/>
        <v>165.6755199561197</v>
      </c>
      <c r="F112" s="43"/>
      <c r="G112" s="43">
        <f t="shared" si="33"/>
        <v>169.0522009257329</v>
      </c>
      <c r="H112" s="43">
        <f t="shared" si="34"/>
        <v>150.70338170183075</v>
      </c>
      <c r="I112" s="43">
        <f t="shared" si="35"/>
        <v>179.59523765388883</v>
      </c>
      <c r="J112" s="43">
        <f t="shared" si="36"/>
        <v>168.1408408050369</v>
      </c>
    </row>
    <row r="113" spans="1:10" ht="12.75">
      <c r="A113" s="90">
        <v>1966</v>
      </c>
      <c r="B113" s="43">
        <f t="shared" si="29"/>
        <v>178.57893651553388</v>
      </c>
      <c r="C113" s="43">
        <f t="shared" si="30"/>
        <v>157.76501891897883</v>
      </c>
      <c r="D113" s="43">
        <f t="shared" si="31"/>
        <v>186.17779457207277</v>
      </c>
      <c r="E113" s="43">
        <f t="shared" si="32"/>
        <v>177.10713083309196</v>
      </c>
      <c r="F113" s="43"/>
      <c r="G113" s="43">
        <f t="shared" si="33"/>
        <v>173.2320462130551</v>
      </c>
      <c r="H113" s="43">
        <f t="shared" si="34"/>
        <v>154.3456882810914</v>
      </c>
      <c r="I113" s="43">
        <f t="shared" si="35"/>
        <v>179.334630917106</v>
      </c>
      <c r="J113" s="43">
        <f t="shared" si="36"/>
        <v>177.5695680274087</v>
      </c>
    </row>
    <row r="114" spans="1:10" ht="12.75">
      <c r="A114" s="90">
        <v>1967</v>
      </c>
      <c r="B114" s="43">
        <f t="shared" si="29"/>
        <v>192.68667250026104</v>
      </c>
      <c r="C114" s="43">
        <f t="shared" si="30"/>
        <v>173.06822575411977</v>
      </c>
      <c r="D114" s="43">
        <f t="shared" si="31"/>
        <v>205.54028520756836</v>
      </c>
      <c r="E114" s="43">
        <f t="shared" si="32"/>
        <v>204.7358432430543</v>
      </c>
      <c r="F114" s="43"/>
      <c r="G114" s="43">
        <f t="shared" si="33"/>
        <v>190.17838007850983</v>
      </c>
      <c r="H114" s="43">
        <f t="shared" si="34"/>
        <v>172.39655853054217</v>
      </c>
      <c r="I114" s="43">
        <f t="shared" si="35"/>
        <v>204.83208517716858</v>
      </c>
      <c r="J114" s="43">
        <f t="shared" si="36"/>
        <v>213.58923093296693</v>
      </c>
    </row>
    <row r="115" spans="1:10" ht="12.75">
      <c r="A115" s="90">
        <v>1968</v>
      </c>
      <c r="B115" s="43">
        <f t="shared" si="29"/>
        <v>233.72893374281665</v>
      </c>
      <c r="C115" s="43">
        <f t="shared" si="30"/>
        <v>202.14368768081187</v>
      </c>
      <c r="D115" s="43">
        <f t="shared" si="31"/>
        <v>260.83062192840424</v>
      </c>
      <c r="E115" s="43">
        <f t="shared" si="32"/>
        <v>240.35987996734573</v>
      </c>
      <c r="F115" s="43"/>
      <c r="G115" s="43">
        <f t="shared" si="33"/>
        <v>240.68056415304085</v>
      </c>
      <c r="H115" s="43">
        <f t="shared" si="34"/>
        <v>204.75087990290194</v>
      </c>
      <c r="I115" s="43">
        <f t="shared" si="35"/>
        <v>278.3650009352759</v>
      </c>
      <c r="J115" s="43">
        <f t="shared" si="36"/>
        <v>252.824019001633</v>
      </c>
    </row>
    <row r="116" spans="1:10" ht="12.75">
      <c r="A116" s="90">
        <v>1969</v>
      </c>
      <c r="B116" s="43">
        <f t="shared" si="29"/>
        <v>246.1165672311859</v>
      </c>
      <c r="C116" s="43">
        <f t="shared" si="30"/>
        <v>208.61228568659786</v>
      </c>
      <c r="D116" s="43">
        <f t="shared" si="31"/>
        <v>286.3920228773879</v>
      </c>
      <c r="E116" s="43">
        <f t="shared" si="32"/>
        <v>240.1195200873784</v>
      </c>
      <c r="F116" s="43"/>
      <c r="G116" s="43">
        <f t="shared" si="33"/>
        <v>238.33435034607965</v>
      </c>
      <c r="H116" s="43">
        <f t="shared" si="34"/>
        <v>203.5868565731917</v>
      </c>
      <c r="I116" s="43">
        <f t="shared" si="35"/>
        <v>279.6834473211455</v>
      </c>
      <c r="J116" s="43">
        <f t="shared" si="36"/>
        <v>228.7463650521286</v>
      </c>
    </row>
    <row r="117" spans="1:10" ht="12.75">
      <c r="A117" s="90">
        <v>1970</v>
      </c>
      <c r="B117" s="43">
        <f t="shared" si="29"/>
        <v>306.66124277005764</v>
      </c>
      <c r="C117" s="43">
        <f t="shared" si="30"/>
        <v>211.53285768621024</v>
      </c>
      <c r="D117" s="43">
        <f t="shared" si="31"/>
        <v>439.03897107103563</v>
      </c>
      <c r="E117" s="43">
        <f t="shared" si="32"/>
        <v>245.64226904938806</v>
      </c>
      <c r="F117" s="43"/>
      <c r="G117" s="43">
        <f t="shared" si="33"/>
        <v>315.0041451560997</v>
      </c>
      <c r="H117" s="43">
        <f t="shared" si="34"/>
        <v>205.4216362907908</v>
      </c>
      <c r="I117" s="43">
        <f t="shared" si="35"/>
        <v>495.10948933300676</v>
      </c>
      <c r="J117" s="43">
        <f t="shared" si="36"/>
        <v>236.96376589351541</v>
      </c>
    </row>
    <row r="118" spans="1:10" ht="12.75">
      <c r="A118" s="90">
        <v>1971</v>
      </c>
      <c r="B118" s="43">
        <f t="shared" si="29"/>
        <v>356.07553144955074</v>
      </c>
      <c r="C118" s="43">
        <f t="shared" si="30"/>
        <v>228.3484295218321</v>
      </c>
      <c r="D118" s="43">
        <f t="shared" si="31"/>
        <v>523.2048053085173</v>
      </c>
      <c r="E118" s="43">
        <f t="shared" si="32"/>
        <v>274.5083307552812</v>
      </c>
      <c r="F118" s="43"/>
      <c r="G118" s="43">
        <f t="shared" si="33"/>
        <v>355.27896428066276</v>
      </c>
      <c r="H118" s="43">
        <f t="shared" si="34"/>
        <v>225.47941673526492</v>
      </c>
      <c r="I118" s="43">
        <f t="shared" si="35"/>
        <v>497.86320548061315</v>
      </c>
      <c r="J118" s="43">
        <f t="shared" si="36"/>
        <v>276.8699323612683</v>
      </c>
    </row>
    <row r="119" spans="1:10" ht="12.75">
      <c r="A119" s="90">
        <v>1972</v>
      </c>
      <c r="B119" s="43">
        <f t="shared" si="29"/>
        <v>460.76718565134985</v>
      </c>
      <c r="C119" s="43">
        <f t="shared" si="30"/>
        <v>274.9408714298962</v>
      </c>
      <c r="D119" s="43">
        <f t="shared" si="31"/>
        <v>697.4272443125252</v>
      </c>
      <c r="E119" s="43">
        <f t="shared" si="32"/>
        <v>334.5079460184599</v>
      </c>
      <c r="F119" s="43"/>
      <c r="G119" s="43">
        <f t="shared" si="33"/>
        <v>478.2507088470454</v>
      </c>
      <c r="H119" s="43">
        <f t="shared" si="34"/>
        <v>279.2680991602682</v>
      </c>
      <c r="I119" s="43">
        <f t="shared" si="35"/>
        <v>702.01129770228</v>
      </c>
      <c r="J119" s="43">
        <f t="shared" si="36"/>
        <v>352.45257701263006</v>
      </c>
    </row>
    <row r="120" spans="1:10" ht="12.75">
      <c r="A120" s="90">
        <v>1973</v>
      </c>
      <c r="B120" s="43">
        <f t="shared" si="29"/>
        <v>591.8633751647521</v>
      </c>
      <c r="C120" s="43">
        <f t="shared" si="30"/>
        <v>340.64063209043564</v>
      </c>
      <c r="D120" s="43">
        <f t="shared" si="31"/>
        <v>911.3129762292506</v>
      </c>
      <c r="E120" s="43">
        <f t="shared" si="32"/>
        <v>401.18805751109306</v>
      </c>
      <c r="F120" s="43"/>
      <c r="G120" s="43">
        <f t="shared" si="33"/>
        <v>612.5398100164839</v>
      </c>
      <c r="H120" s="43">
        <f t="shared" si="34"/>
        <v>348.70403701658944</v>
      </c>
      <c r="I120" s="43">
        <f t="shared" si="35"/>
        <v>907.2283100022727</v>
      </c>
      <c r="J120" s="43">
        <f t="shared" si="36"/>
        <v>419.0594388812009</v>
      </c>
    </row>
    <row r="121" spans="1:10" ht="12.75">
      <c r="A121" s="90">
        <v>1974</v>
      </c>
      <c r="B121" s="43">
        <f t="shared" si="29"/>
        <v>497.4780349321664</v>
      </c>
      <c r="C121" s="43">
        <f t="shared" si="30"/>
        <v>292.1964245976944</v>
      </c>
      <c r="D121" s="43">
        <f t="shared" si="31"/>
        <v>742.344796943228</v>
      </c>
      <c r="E121" s="43">
        <f t="shared" si="32"/>
        <v>385.16268079142395</v>
      </c>
      <c r="F121" s="43"/>
      <c r="G121" s="43">
        <f t="shared" si="33"/>
        <v>408.2005376345214</v>
      </c>
      <c r="H121" s="43">
        <f t="shared" si="34"/>
        <v>262.2822747505503</v>
      </c>
      <c r="I121" s="43">
        <f t="shared" si="35"/>
        <v>495.52966505090967</v>
      </c>
      <c r="J121" s="43">
        <f t="shared" si="36"/>
        <v>348.3243464957625</v>
      </c>
    </row>
    <row r="122" spans="1:10" ht="12.75">
      <c r="A122" s="90">
        <v>1975</v>
      </c>
      <c r="B122" s="43">
        <f t="shared" si="29"/>
        <v>554.148543768285</v>
      </c>
      <c r="C122" s="43">
        <f t="shared" si="30"/>
        <v>345.8301594593722</v>
      </c>
      <c r="D122" s="43">
        <f t="shared" si="31"/>
        <v>801.9277658492417</v>
      </c>
      <c r="E122" s="43">
        <f t="shared" si="32"/>
        <v>446.63002269356576</v>
      </c>
      <c r="F122" s="43"/>
      <c r="G122" s="43">
        <f t="shared" si="33"/>
        <v>498.4665795376032</v>
      </c>
      <c r="H122" s="43">
        <f t="shared" si="34"/>
        <v>334.1011783576237</v>
      </c>
      <c r="I122" s="43">
        <f t="shared" si="35"/>
        <v>607.1044448650413</v>
      </c>
      <c r="J122" s="43">
        <f t="shared" si="36"/>
        <v>441.3385723957798</v>
      </c>
    </row>
    <row r="123" spans="1:10" ht="12.75">
      <c r="A123" s="90">
        <v>1976</v>
      </c>
      <c r="B123" s="43">
        <f t="shared" si="29"/>
        <v>606.398822056216</v>
      </c>
      <c r="C123" s="43">
        <f t="shared" si="30"/>
        <v>392.97946757752084</v>
      </c>
      <c r="D123" s="43">
        <f t="shared" si="31"/>
        <v>858.948438676069</v>
      </c>
      <c r="E123" s="43">
        <f t="shared" si="32"/>
        <v>510.2337109653111</v>
      </c>
      <c r="F123" s="43"/>
      <c r="G123" s="43">
        <f t="shared" si="33"/>
        <v>541.6299597877329</v>
      </c>
      <c r="H123" s="43">
        <f t="shared" si="34"/>
        <v>375.2801258971383</v>
      </c>
      <c r="I123" s="43">
        <f t="shared" si="35"/>
        <v>647.2397153831081</v>
      </c>
      <c r="J123" s="43">
        <f t="shared" si="36"/>
        <v>500.1058183337321</v>
      </c>
    </row>
    <row r="124" spans="1:10" ht="12.75">
      <c r="A124" s="90">
        <v>1977</v>
      </c>
      <c r="B124" s="43">
        <f t="shared" si="29"/>
        <v>767.0994823714541</v>
      </c>
      <c r="C124" s="43">
        <f t="shared" si="30"/>
        <v>508.8306791742026</v>
      </c>
      <c r="D124" s="43">
        <f t="shared" si="31"/>
        <v>1058.9508891435053</v>
      </c>
      <c r="E124" s="43">
        <f t="shared" si="32"/>
        <v>686.7649315421714</v>
      </c>
      <c r="F124" s="43"/>
      <c r="G124" s="43">
        <f t="shared" si="33"/>
        <v>721.4295220110006</v>
      </c>
      <c r="H124" s="43">
        <f t="shared" si="34"/>
        <v>502.3921586139743</v>
      </c>
      <c r="I124" s="43">
        <f t="shared" si="35"/>
        <v>855.0422039766823</v>
      </c>
      <c r="J124" s="43">
        <f t="shared" si="36"/>
        <v>727.9550869982314</v>
      </c>
    </row>
    <row r="125" spans="1:10" ht="12.75">
      <c r="A125" s="90">
        <v>1978</v>
      </c>
      <c r="B125" s="43">
        <f t="shared" si="29"/>
        <v>964.0560332577885</v>
      </c>
      <c r="C125" s="43">
        <f t="shared" si="30"/>
        <v>668.229623651845</v>
      </c>
      <c r="D125" s="43">
        <f t="shared" si="31"/>
        <v>1298.6348923431356</v>
      </c>
      <c r="E125" s="43">
        <f t="shared" si="32"/>
        <v>883.2163752105769</v>
      </c>
      <c r="F125" s="43"/>
      <c r="G125" s="43">
        <f t="shared" si="33"/>
        <v>904.3249992703768</v>
      </c>
      <c r="H125" s="43">
        <f t="shared" si="34"/>
        <v>662.3443897605986</v>
      </c>
      <c r="I125" s="43">
        <f t="shared" si="35"/>
        <v>1045.5399028590627</v>
      </c>
      <c r="J125" s="43">
        <f t="shared" si="36"/>
        <v>912.6978918248763</v>
      </c>
    </row>
    <row r="126" spans="1:10" ht="12.75">
      <c r="A126" s="90">
        <v>1979</v>
      </c>
      <c r="B126" s="43">
        <f t="shared" si="29"/>
        <v>1187.720407169712</v>
      </c>
      <c r="C126" s="43">
        <f t="shared" si="30"/>
        <v>835.5619392319767</v>
      </c>
      <c r="D126" s="43">
        <f t="shared" si="31"/>
        <v>1562.4297147485381</v>
      </c>
      <c r="E126" s="43">
        <f t="shared" si="32"/>
        <v>1124.1155846252873</v>
      </c>
      <c r="F126" s="43"/>
      <c r="G126" s="43">
        <f t="shared" si="33"/>
        <v>1105.3533550410905</v>
      </c>
      <c r="H126" s="43">
        <f t="shared" si="34"/>
        <v>816.6672257482758</v>
      </c>
      <c r="I126" s="43">
        <f t="shared" si="35"/>
        <v>1244.6884902396732</v>
      </c>
      <c r="J126" s="43">
        <f t="shared" si="36"/>
        <v>1155.1010568492359</v>
      </c>
    </row>
    <row r="127" spans="1:10" ht="12.75">
      <c r="A127" s="90">
        <v>1980</v>
      </c>
      <c r="B127" s="43">
        <f t="shared" si="29"/>
        <v>1395.6988020520603</v>
      </c>
      <c r="C127" s="43">
        <f t="shared" si="30"/>
        <v>997.625276948175</v>
      </c>
      <c r="D127" s="43">
        <f t="shared" si="31"/>
        <v>1826.966564668271</v>
      </c>
      <c r="E127" s="43">
        <f t="shared" si="32"/>
        <v>1315.7841489089649</v>
      </c>
      <c r="F127" s="43"/>
      <c r="G127" s="43">
        <f t="shared" si="33"/>
        <v>1274.2445004579051</v>
      </c>
      <c r="H127" s="43">
        <f t="shared" si="34"/>
        <v>962.2904976324681</v>
      </c>
      <c r="I127" s="43">
        <f t="shared" si="35"/>
        <v>1432.4685149403401</v>
      </c>
      <c r="J127" s="43">
        <f t="shared" si="36"/>
        <v>1288.4553158024526</v>
      </c>
    </row>
    <row r="128" spans="1:10" ht="12.75">
      <c r="A128" s="90">
        <v>1981</v>
      </c>
      <c r="B128" s="43">
        <f t="shared" si="29"/>
        <v>1605.292845134541</v>
      </c>
      <c r="C128" s="43">
        <f t="shared" si="30"/>
        <v>1170.3481316473205</v>
      </c>
      <c r="D128" s="43">
        <f t="shared" si="31"/>
        <v>2101.4191456090894</v>
      </c>
      <c r="E128" s="43">
        <f t="shared" si="32"/>
        <v>1474.3778492100155</v>
      </c>
      <c r="F128" s="43"/>
      <c r="G128" s="43">
        <f t="shared" si="33"/>
        <v>1453.1384433400294</v>
      </c>
      <c r="H128" s="43">
        <f t="shared" si="34"/>
        <v>1123.3432311062186</v>
      </c>
      <c r="I128" s="43">
        <f t="shared" si="35"/>
        <v>1632.7454150325086</v>
      </c>
      <c r="J128" s="43">
        <f t="shared" si="36"/>
        <v>1409.082108392036</v>
      </c>
    </row>
    <row r="129" spans="1:10" ht="12.75">
      <c r="A129" s="90">
        <v>1982</v>
      </c>
      <c r="B129" s="43">
        <f t="shared" si="29"/>
        <v>1726.1762122517073</v>
      </c>
      <c r="C129" s="43">
        <f t="shared" si="30"/>
        <v>1291.837874975168</v>
      </c>
      <c r="D129" s="43">
        <f t="shared" si="31"/>
        <v>2242.905385121889</v>
      </c>
      <c r="E129" s="43">
        <f t="shared" si="32"/>
        <v>1558.4647141439461</v>
      </c>
      <c r="F129" s="43"/>
      <c r="G129" s="43">
        <f t="shared" si="33"/>
        <v>1519.8976131007921</v>
      </c>
      <c r="H129" s="43">
        <f t="shared" si="34"/>
        <v>1218.3737091150333</v>
      </c>
      <c r="I129" s="43">
        <f t="shared" si="35"/>
        <v>1668.858973780344</v>
      </c>
      <c r="J129" s="43">
        <f t="shared" si="36"/>
        <v>1441.2634753538414</v>
      </c>
    </row>
    <row r="130" spans="1:10" ht="12.75">
      <c r="A130" s="90">
        <v>1983</v>
      </c>
      <c r="B130" s="43">
        <f t="shared" si="29"/>
        <v>1857.1004637166354</v>
      </c>
      <c r="C130" s="43">
        <f t="shared" si="30"/>
        <v>1450.3248085421092</v>
      </c>
      <c r="D130" s="43">
        <f t="shared" si="31"/>
        <v>2366.7281169750822</v>
      </c>
      <c r="E130" s="43">
        <f t="shared" si="32"/>
        <v>1653.1168217857073</v>
      </c>
      <c r="F130" s="43"/>
      <c r="G130" s="43">
        <f t="shared" si="33"/>
        <v>1635.5002788837332</v>
      </c>
      <c r="H130" s="43">
        <f t="shared" si="34"/>
        <v>1374.2207489785424</v>
      </c>
      <c r="I130" s="43">
        <f t="shared" si="35"/>
        <v>1749.9567983038821</v>
      </c>
      <c r="J130" s="43">
        <f t="shared" si="36"/>
        <v>1531.6706535538653</v>
      </c>
    </row>
    <row r="131" spans="1:10" ht="12.75">
      <c r="A131" s="90">
        <v>1984</v>
      </c>
      <c r="B131" s="43">
        <f t="shared" si="29"/>
        <v>2021.5348243357755</v>
      </c>
      <c r="C131" s="43">
        <f t="shared" si="30"/>
        <v>1650.3380876607855</v>
      </c>
      <c r="D131" s="43">
        <f t="shared" si="31"/>
        <v>2530.796810228146</v>
      </c>
      <c r="E131" s="43">
        <f t="shared" si="32"/>
        <v>1752.279034340523</v>
      </c>
      <c r="F131" s="43"/>
      <c r="G131" s="43">
        <f t="shared" si="33"/>
        <v>1788.4574071146683</v>
      </c>
      <c r="H131" s="43">
        <f t="shared" si="34"/>
        <v>1569.5364977259046</v>
      </c>
      <c r="I131" s="43">
        <f t="shared" si="35"/>
        <v>1884.7423394101177</v>
      </c>
      <c r="J131" s="43">
        <f t="shared" si="36"/>
        <v>1622.9299915354159</v>
      </c>
    </row>
    <row r="132" spans="1:10" ht="12.75">
      <c r="A132" s="90">
        <v>1985</v>
      </c>
      <c r="B132" s="43">
        <f t="shared" si="29"/>
        <v>2189.84761165649</v>
      </c>
      <c r="C132" s="43">
        <f t="shared" si="30"/>
        <v>1859.4294870488652</v>
      </c>
      <c r="D132" s="43">
        <f t="shared" si="31"/>
        <v>2726.1059924638826</v>
      </c>
      <c r="E132" s="43">
        <f t="shared" si="32"/>
        <v>1814.2196450138124</v>
      </c>
      <c r="F132" s="43"/>
      <c r="G132" s="43">
        <f t="shared" si="33"/>
        <v>1933.6582520692573</v>
      </c>
      <c r="H132" s="43">
        <f t="shared" si="34"/>
        <v>1763.5138903905815</v>
      </c>
      <c r="I132" s="43">
        <f t="shared" si="35"/>
        <v>2038.262894777033</v>
      </c>
      <c r="J132" s="43">
        <f t="shared" si="36"/>
        <v>1658.7679757346332</v>
      </c>
    </row>
    <row r="133" spans="1:10" ht="12.75">
      <c r="A133" s="90">
        <v>1986</v>
      </c>
      <c r="B133" s="43">
        <f t="shared" si="29"/>
        <v>2437.6527382543886</v>
      </c>
      <c r="C133" s="43">
        <f t="shared" si="30"/>
        <v>2077.1482262579298</v>
      </c>
      <c r="D133" s="43">
        <f t="shared" si="31"/>
        <v>3056.977838538812</v>
      </c>
      <c r="E133" s="43">
        <f t="shared" si="32"/>
        <v>1981.8593457159525</v>
      </c>
      <c r="F133" s="43"/>
      <c r="G133" s="43">
        <f t="shared" si="33"/>
        <v>2175.1477475925085</v>
      </c>
      <c r="H133" s="43">
        <f t="shared" si="34"/>
        <v>1965.3073355129582</v>
      </c>
      <c r="I133" s="43">
        <f t="shared" si="35"/>
        <v>2334.784426964296</v>
      </c>
      <c r="J133" s="43">
        <f t="shared" si="36"/>
        <v>1863.0058288675996</v>
      </c>
    </row>
    <row r="134" spans="1:10" ht="12.75">
      <c r="A134" s="90">
        <v>1987</v>
      </c>
      <c r="B134" s="43">
        <f t="shared" si="29"/>
        <v>3072.499172662563</v>
      </c>
      <c r="C134" s="43">
        <f t="shared" si="30"/>
        <v>2510.025501180437</v>
      </c>
      <c r="D134" s="43">
        <f t="shared" si="31"/>
        <v>3996.837421157406</v>
      </c>
      <c r="E134" s="43">
        <f t="shared" si="32"/>
        <v>2479.2588732382283</v>
      </c>
      <c r="F134" s="43"/>
      <c r="G134" s="43">
        <f t="shared" si="33"/>
        <v>2867.258792662103</v>
      </c>
      <c r="H134" s="43">
        <f t="shared" si="34"/>
        <v>2424.602937246479</v>
      </c>
      <c r="I134" s="43">
        <f t="shared" si="35"/>
        <v>3289.555318939712</v>
      </c>
      <c r="J134" s="43">
        <f t="shared" si="36"/>
        <v>2489.6564299019947</v>
      </c>
    </row>
    <row r="135" spans="1:10" ht="12.75">
      <c r="A135" s="90">
        <v>1988</v>
      </c>
      <c r="B135" s="43">
        <f t="shared" si="29"/>
        <v>3981.6043613661564</v>
      </c>
      <c r="C135" s="43">
        <f t="shared" si="30"/>
        <v>3133.723916787705</v>
      </c>
      <c r="D135" s="43">
        <f t="shared" si="31"/>
        <v>5241.337884871835</v>
      </c>
      <c r="E135" s="43">
        <f t="shared" si="32"/>
        <v>3453.8223142392744</v>
      </c>
      <c r="F135" s="43"/>
      <c r="G135" s="43">
        <f t="shared" si="33"/>
        <v>3755.500270880114</v>
      </c>
      <c r="H135" s="43">
        <f t="shared" si="34"/>
        <v>3054.005058871243</v>
      </c>
      <c r="I135" s="43">
        <f t="shared" si="35"/>
        <v>4320.868591052342</v>
      </c>
      <c r="J135" s="43">
        <f t="shared" si="36"/>
        <v>3658.8261941612745</v>
      </c>
    </row>
    <row r="136" spans="1:10" ht="12.75">
      <c r="A136" s="90">
        <v>1989</v>
      </c>
      <c r="B136" s="43">
        <f t="shared" si="29"/>
        <v>4595.832928739284</v>
      </c>
      <c r="C136" s="43">
        <f t="shared" si="30"/>
        <v>3442.4430418224374</v>
      </c>
      <c r="D136" s="43">
        <f t="shared" si="31"/>
        <v>6108.375721800989</v>
      </c>
      <c r="E136" s="43">
        <f t="shared" si="32"/>
        <v>4444.470771018889</v>
      </c>
      <c r="F136" s="43"/>
      <c r="G136" s="43">
        <f t="shared" si="33"/>
        <v>4126.270828326196</v>
      </c>
      <c r="H136" s="43">
        <f t="shared" si="34"/>
        <v>3227.959982935423</v>
      </c>
      <c r="I136" s="43">
        <f t="shared" si="35"/>
        <v>4691.696860954745</v>
      </c>
      <c r="J136" s="43">
        <f t="shared" si="36"/>
        <v>4498.9196228558985</v>
      </c>
    </row>
    <row r="137" spans="1:10" ht="12.75">
      <c r="A137" s="90">
        <v>1990</v>
      </c>
      <c r="B137" s="43">
        <f t="shared" si="29"/>
        <v>4207.3655546046675</v>
      </c>
      <c r="C137" s="43">
        <f t="shared" si="30"/>
        <v>3158.5206670620482</v>
      </c>
      <c r="D137" s="43">
        <f t="shared" si="31"/>
        <v>5503.626978540381</v>
      </c>
      <c r="E137" s="43">
        <f t="shared" si="32"/>
        <v>4289.004072342802</v>
      </c>
      <c r="F137" s="43"/>
      <c r="G137" s="43">
        <f t="shared" si="33"/>
        <v>3391.073109823276</v>
      </c>
      <c r="H137" s="43">
        <f t="shared" si="34"/>
        <v>2799.838209638588</v>
      </c>
      <c r="I137" s="43">
        <f t="shared" si="35"/>
        <v>3550.5749954293437</v>
      </c>
      <c r="J137" s="43">
        <f t="shared" si="36"/>
        <v>3561.939975270062</v>
      </c>
    </row>
    <row r="138" spans="1:10" ht="12.75">
      <c r="A138" s="90">
        <v>1991</v>
      </c>
      <c r="B138" s="43">
        <f t="shared" si="29"/>
        <v>4075.5155535910217</v>
      </c>
      <c r="C138" s="43">
        <f t="shared" si="30"/>
        <v>3264.6185347893293</v>
      </c>
      <c r="D138" s="43">
        <f t="shared" si="31"/>
        <v>4907.8351421546795</v>
      </c>
      <c r="E138" s="43">
        <f t="shared" si="32"/>
        <v>4679.58523049355</v>
      </c>
      <c r="F138" s="43"/>
      <c r="G138" s="43">
        <f t="shared" si="33"/>
        <v>3355.538819493471</v>
      </c>
      <c r="H138" s="43">
        <f t="shared" si="34"/>
        <v>2983.935947629845</v>
      </c>
      <c r="I138" s="43">
        <f t="shared" si="35"/>
        <v>3148.2947930157457</v>
      </c>
      <c r="J138" s="43">
        <f t="shared" si="36"/>
        <v>4128.0721605726585</v>
      </c>
    </row>
    <row r="139" spans="1:10" ht="12.75">
      <c r="A139" s="90">
        <v>1992</v>
      </c>
      <c r="B139" s="43">
        <f t="shared" si="29"/>
        <v>4007.348072890103</v>
      </c>
      <c r="C139" s="43">
        <f t="shared" si="30"/>
        <v>3381.177495569887</v>
      </c>
      <c r="D139" s="43">
        <f t="shared" si="31"/>
        <v>4555.163016674586</v>
      </c>
      <c r="E139" s="43">
        <f t="shared" si="32"/>
        <v>4744.572502423506</v>
      </c>
      <c r="F139" s="43"/>
      <c r="G139" s="43">
        <f t="shared" si="33"/>
        <v>3318.642339097947</v>
      </c>
      <c r="H139" s="43">
        <f t="shared" si="34"/>
        <v>3092.2203601561464</v>
      </c>
      <c r="I139" s="43">
        <f t="shared" si="35"/>
        <v>2984.555428070769</v>
      </c>
      <c r="J139" s="43">
        <f t="shared" si="36"/>
        <v>4013.840397034356</v>
      </c>
    </row>
    <row r="140" spans="1:10" ht="12.75">
      <c r="A140" s="90">
        <v>1993</v>
      </c>
      <c r="B140" s="43">
        <f t="shared" si="29"/>
        <v>4819.103347766811</v>
      </c>
      <c r="C140" s="43">
        <f t="shared" si="30"/>
        <v>4082.7444383629245</v>
      </c>
      <c r="D140" s="43">
        <f t="shared" si="31"/>
        <v>5434.205621176002</v>
      </c>
      <c r="E140" s="43">
        <f t="shared" si="32"/>
        <v>5751.98900523484</v>
      </c>
      <c r="F140" s="43"/>
      <c r="G140" s="43">
        <f t="shared" si="33"/>
        <v>4276.296964172959</v>
      </c>
      <c r="H140" s="43">
        <f t="shared" si="34"/>
        <v>3881.026423727498</v>
      </c>
      <c r="I140" s="43">
        <f t="shared" si="35"/>
        <v>3991.6016797135176</v>
      </c>
      <c r="J140" s="43">
        <f t="shared" si="36"/>
        <v>5295.013218951933</v>
      </c>
    </row>
    <row r="141" spans="1:10" ht="12.75">
      <c r="A141" s="90">
        <v>1994</v>
      </c>
      <c r="B141" s="43">
        <f t="shared" si="29"/>
        <v>5392.829649076819</v>
      </c>
      <c r="C141" s="43">
        <f t="shared" si="30"/>
        <v>4611.0572845293</v>
      </c>
      <c r="D141" s="43">
        <f t="shared" si="31"/>
        <v>6014.774412919961</v>
      </c>
      <c r="E141" s="43">
        <f t="shared" si="32"/>
        <v>6428.261856558311</v>
      </c>
      <c r="F141" s="43"/>
      <c r="G141" s="43">
        <f t="shared" si="33"/>
        <v>4645.342201316033</v>
      </c>
      <c r="H141" s="43">
        <f t="shared" si="34"/>
        <v>4299.256799264689</v>
      </c>
      <c r="I141" s="43">
        <f t="shared" si="35"/>
        <v>4230.516946035944</v>
      </c>
      <c r="J141" s="43">
        <f t="shared" si="36"/>
        <v>5647.375687644165</v>
      </c>
    </row>
    <row r="142" spans="1:10" ht="12.75">
      <c r="A142" s="90">
        <v>1995</v>
      </c>
      <c r="B142" s="43">
        <f t="shared" si="29"/>
        <v>5586.5886255385</v>
      </c>
      <c r="C142" s="43">
        <f t="shared" si="30"/>
        <v>4798.529962757865</v>
      </c>
      <c r="D142" s="43">
        <f t="shared" si="31"/>
        <v>6195.205014281292</v>
      </c>
      <c r="E142" s="43">
        <f t="shared" si="32"/>
        <v>6606.352351510958</v>
      </c>
      <c r="F142" s="43"/>
      <c r="G142" s="43">
        <f t="shared" si="33"/>
        <v>4660.81078480541</v>
      </c>
      <c r="H142" s="43">
        <f t="shared" si="34"/>
        <v>4368.33092574562</v>
      </c>
      <c r="I142" s="43">
        <f t="shared" si="35"/>
        <v>4180.132791364924</v>
      </c>
      <c r="J142" s="43">
        <f t="shared" si="36"/>
        <v>5530.542280575693</v>
      </c>
    </row>
    <row r="143" spans="1:10" ht="12.75">
      <c r="A143" s="90">
        <v>1996</v>
      </c>
      <c r="B143" s="43">
        <f t="shared" si="29"/>
        <v>6150.654188564146</v>
      </c>
      <c r="C143" s="43">
        <f t="shared" si="30"/>
        <v>5362.898987414709</v>
      </c>
      <c r="D143" s="43">
        <f t="shared" si="31"/>
        <v>6662.934939093011</v>
      </c>
      <c r="E143" s="43">
        <f t="shared" si="32"/>
        <v>7287.816094355897</v>
      </c>
      <c r="F143" s="43"/>
      <c r="G143" s="43">
        <f t="shared" si="33"/>
        <v>5250.284461887865</v>
      </c>
      <c r="H143" s="43">
        <f t="shared" si="34"/>
        <v>4975.2538298584695</v>
      </c>
      <c r="I143" s="43">
        <f t="shared" si="35"/>
        <v>4599.4623569934065</v>
      </c>
      <c r="J143" s="43">
        <f t="shared" si="36"/>
        <v>6325.727347647454</v>
      </c>
    </row>
    <row r="144" spans="1:10" ht="12.75">
      <c r="A144" s="90">
        <v>1997</v>
      </c>
      <c r="B144" s="43">
        <f t="shared" si="29"/>
        <v>7191.69977001588</v>
      </c>
      <c r="C144" s="43">
        <f t="shared" si="30"/>
        <v>6352.7721567137405</v>
      </c>
      <c r="D144" s="43">
        <f t="shared" si="31"/>
        <v>7631.563769918115</v>
      </c>
      <c r="E144" s="43">
        <f t="shared" si="32"/>
        <v>8481.219300818177</v>
      </c>
      <c r="F144" s="43"/>
      <c r="G144" s="43">
        <f t="shared" si="33"/>
        <v>6279.547063682405</v>
      </c>
      <c r="H144" s="43">
        <f t="shared" si="34"/>
        <v>5985.895891213511</v>
      </c>
      <c r="I144" s="43">
        <f t="shared" si="35"/>
        <v>5443.402526114055</v>
      </c>
      <c r="J144" s="43">
        <f t="shared" si="36"/>
        <v>7568.009062947515</v>
      </c>
    </row>
    <row r="145" spans="1:10" ht="12.75">
      <c r="A145" s="90">
        <v>1998</v>
      </c>
      <c r="B145" s="43">
        <f t="shared" si="29"/>
        <v>8035.895290009263</v>
      </c>
      <c r="C145" s="43">
        <f t="shared" si="30"/>
        <v>7086.680607058605</v>
      </c>
      <c r="D145" s="43">
        <f t="shared" si="31"/>
        <v>8517.22277170103</v>
      </c>
      <c r="E145" s="43">
        <f t="shared" si="32"/>
        <v>9600.223742270757</v>
      </c>
      <c r="F145" s="43"/>
      <c r="G145" s="43">
        <f t="shared" si="33"/>
        <v>6888.92263648203</v>
      </c>
      <c r="H145" s="43">
        <f t="shared" si="34"/>
        <v>6562.885830918647</v>
      </c>
      <c r="I145" s="43">
        <f t="shared" si="35"/>
        <v>5988.063793999155</v>
      </c>
      <c r="J145" s="43">
        <f t="shared" si="36"/>
        <v>8436.874712549767</v>
      </c>
    </row>
    <row r="146" spans="1:10" ht="12.75">
      <c r="A146" s="90">
        <v>1999</v>
      </c>
      <c r="B146" s="43">
        <f t="shared" si="29"/>
        <v>9214.392281459812</v>
      </c>
      <c r="C146" s="43">
        <f t="shared" si="30"/>
        <v>8073.886397016539</v>
      </c>
      <c r="D146" s="43">
        <f t="shared" si="31"/>
        <v>9730.978120005057</v>
      </c>
      <c r="E146" s="43">
        <f t="shared" si="32"/>
        <v>11284.643479261737</v>
      </c>
      <c r="F146" s="43"/>
      <c r="G146" s="43">
        <f t="shared" si="33"/>
        <v>7978.287760017103</v>
      </c>
      <c r="H146" s="43">
        <f t="shared" si="34"/>
        <v>7520.367462208419</v>
      </c>
      <c r="I146" s="43">
        <f t="shared" si="35"/>
        <v>6927.794530931009</v>
      </c>
      <c r="J146" s="43">
        <f t="shared" si="36"/>
        <v>10114.881768754953</v>
      </c>
    </row>
    <row r="147" spans="1:10" ht="12.75">
      <c r="A147" s="90">
        <v>2000</v>
      </c>
      <c r="B147" s="43">
        <f t="shared" si="29"/>
        <v>10180.767336444787</v>
      </c>
      <c r="C147" s="43">
        <f t="shared" si="30"/>
        <v>8616.367594477522</v>
      </c>
      <c r="D147" s="43">
        <f t="shared" si="31"/>
        <v>11227.692079860539</v>
      </c>
      <c r="E147" s="43">
        <f t="shared" si="32"/>
        <v>12824.522230690485</v>
      </c>
      <c r="F147" s="43"/>
      <c r="G147" s="43">
        <f t="shared" si="33"/>
        <v>8684.3070551932</v>
      </c>
      <c r="H147" s="43">
        <f t="shared" si="34"/>
        <v>7875.380466245676</v>
      </c>
      <c r="I147" s="43">
        <f t="shared" si="35"/>
        <v>8036.061386915017</v>
      </c>
      <c r="J147" s="43">
        <f t="shared" si="36"/>
        <v>11282.724324385079</v>
      </c>
    </row>
    <row r="148" spans="1:10" ht="12.75">
      <c r="A148" s="90">
        <v>2001</v>
      </c>
      <c r="B148" s="43">
        <f t="shared" si="29"/>
        <v>10863.431563652955</v>
      </c>
      <c r="C148" s="43">
        <f t="shared" si="30"/>
        <v>9099.651036484172</v>
      </c>
      <c r="D148" s="43">
        <f t="shared" si="31"/>
        <v>12090.656984195452</v>
      </c>
      <c r="E148" s="43">
        <f t="shared" si="32"/>
        <v>13888.143218676147</v>
      </c>
      <c r="F148" s="43"/>
      <c r="G148" s="43">
        <f t="shared" si="33"/>
        <v>9137.812352711773</v>
      </c>
      <c r="H148" s="43">
        <f t="shared" si="34"/>
        <v>8292.878537781964</v>
      </c>
      <c r="I148" s="43">
        <f t="shared" si="35"/>
        <v>8316.459111502038</v>
      </c>
      <c r="J148" s="43">
        <f t="shared" si="36"/>
        <v>11893.300695311973</v>
      </c>
    </row>
    <row r="149" spans="1:10" ht="12.75">
      <c r="A149" s="90">
        <v>2002</v>
      </c>
      <c r="B149" s="43">
        <f t="shared" si="29"/>
        <v>11912.840139044989</v>
      </c>
      <c r="C149" s="43">
        <f t="shared" si="30"/>
        <v>10375.998119709862</v>
      </c>
      <c r="D149" s="43">
        <f t="shared" si="31"/>
        <v>12489.75748058676</v>
      </c>
      <c r="E149" s="43">
        <f t="shared" si="32"/>
        <v>15378.6395811193</v>
      </c>
      <c r="F149" s="43"/>
      <c r="G149" s="43">
        <f t="shared" si="33"/>
        <v>10126.40732396207</v>
      </c>
      <c r="H149" s="43">
        <f t="shared" si="34"/>
        <v>9649.491225638105</v>
      </c>
      <c r="I149" s="43">
        <f t="shared" si="35"/>
        <v>8392.075631714444</v>
      </c>
      <c r="J149" s="43">
        <f t="shared" si="36"/>
        <v>13325.877917756456</v>
      </c>
    </row>
    <row r="150" spans="1:10" ht="12.75">
      <c r="A150" s="90">
        <v>2003</v>
      </c>
      <c r="B150" s="43">
        <f t="shared" si="29"/>
        <v>13213.056354464929</v>
      </c>
      <c r="C150" s="43">
        <f t="shared" si="30"/>
        <v>11979.54533552249</v>
      </c>
      <c r="D150" s="43">
        <f t="shared" si="31"/>
        <v>12887.535023755732</v>
      </c>
      <c r="E150" s="43">
        <f t="shared" si="32"/>
        <v>17105.971454598537</v>
      </c>
      <c r="F150" s="43"/>
      <c r="G150" s="43">
        <f t="shared" si="33"/>
        <v>11281.461420039504</v>
      </c>
      <c r="H150" s="43">
        <f t="shared" si="34"/>
        <v>11178.945222169541</v>
      </c>
      <c r="I150" s="43">
        <f t="shared" si="35"/>
        <v>8654.03639427092</v>
      </c>
      <c r="J150" s="43">
        <f t="shared" si="36"/>
        <v>14858.512774085531</v>
      </c>
    </row>
    <row r="151" spans="1:10" ht="12.75">
      <c r="A151" s="90">
        <v>2004</v>
      </c>
      <c r="B151" s="43">
        <f t="shared" si="29"/>
        <v>15635.622670053197</v>
      </c>
      <c r="C151" s="43">
        <f t="shared" si="30"/>
        <v>14430.560311170393</v>
      </c>
      <c r="D151" s="43">
        <f t="shared" si="31"/>
        <v>14840.220822964138</v>
      </c>
      <c r="E151" s="43">
        <f t="shared" si="32"/>
        <v>19992.03792990689</v>
      </c>
      <c r="F151" s="43"/>
      <c r="G151" s="43">
        <f t="shared" si="33"/>
        <v>13678.171820334044</v>
      </c>
      <c r="H151" s="43">
        <f t="shared" si="34"/>
        <v>13621.213305074523</v>
      </c>
      <c r="I151" s="43">
        <f t="shared" si="35"/>
        <v>10530.102289631877</v>
      </c>
      <c r="J151" s="43">
        <f t="shared" si="36"/>
        <v>17816.629661471892</v>
      </c>
    </row>
    <row r="152" spans="1:10" ht="12.75">
      <c r="A152" s="90">
        <v>2005</v>
      </c>
      <c r="B152" s="43">
        <f t="shared" si="29"/>
        <v>18622.026600033358</v>
      </c>
      <c r="C152" s="43">
        <f t="shared" si="30"/>
        <v>17157.9362099816</v>
      </c>
      <c r="D152" s="43">
        <f t="shared" si="31"/>
        <v>17852.78565002586</v>
      </c>
      <c r="E152" s="43">
        <f t="shared" si="32"/>
        <v>23670.57290900976</v>
      </c>
      <c r="F152" s="43"/>
      <c r="G152" s="43">
        <f t="shared" si="33"/>
        <v>16331.758524786172</v>
      </c>
      <c r="H152" s="43">
        <f t="shared" si="34"/>
        <v>16136.742209927796</v>
      </c>
      <c r="I152" s="43">
        <f t="shared" si="35"/>
        <v>12963.384342628255</v>
      </c>
      <c r="J152" s="43">
        <f t="shared" si="36"/>
        <v>21241.51533357427</v>
      </c>
    </row>
    <row r="153" spans="7:9" ht="12.75">
      <c r="G153" s="5"/>
      <c r="H153" s="5"/>
      <c r="I153" s="5"/>
    </row>
    <row r="154" spans="7:9" ht="12.75">
      <c r="G154" s="5"/>
      <c r="H154" s="5"/>
      <c r="I154" s="5"/>
    </row>
    <row r="155" spans="7:9" ht="12.75">
      <c r="G155" s="5"/>
      <c r="H155" s="5"/>
      <c r="I155" s="5"/>
    </row>
    <row r="156" spans="7:9" ht="12.75">
      <c r="G156" s="5"/>
      <c r="H156" s="5"/>
      <c r="I156" s="5"/>
    </row>
    <row r="157" spans="7:9" ht="12.75">
      <c r="G157" s="5"/>
      <c r="H157" s="5"/>
      <c r="I157" s="5"/>
    </row>
    <row r="158" spans="7:9" ht="12.75">
      <c r="G158" s="5"/>
      <c r="H158" s="5"/>
      <c r="I158" s="5"/>
    </row>
    <row r="159" spans="7:9" ht="12.75">
      <c r="G159" s="5"/>
      <c r="H159" s="5"/>
      <c r="I159" s="5"/>
    </row>
    <row r="160" spans="7:9" ht="12.75">
      <c r="G160" s="5"/>
      <c r="H160" s="5"/>
      <c r="I160" s="5"/>
    </row>
    <row r="161" spans="7:9" ht="12.75">
      <c r="G161" s="5"/>
      <c r="H161" s="5"/>
      <c r="I161" s="5"/>
    </row>
    <row r="162" spans="7:9" ht="12.75">
      <c r="G162" s="5"/>
      <c r="H162" s="5"/>
      <c r="I162" s="5"/>
    </row>
    <row r="163" spans="7:9" ht="12.75">
      <c r="G163" s="5"/>
      <c r="H163" s="5"/>
      <c r="I163" s="5"/>
    </row>
    <row r="164" spans="7:9" ht="12.75">
      <c r="G164" s="5"/>
      <c r="H164" s="5"/>
      <c r="I164" s="5"/>
    </row>
    <row r="165" spans="7:9" ht="12.75">
      <c r="G165" s="5"/>
      <c r="H165" s="5"/>
      <c r="I165" s="5"/>
    </row>
    <row r="166" spans="7:9" ht="12.75">
      <c r="G166" s="5"/>
      <c r="H166" s="5"/>
      <c r="I166" s="5"/>
    </row>
    <row r="167" spans="7:9" ht="12.75">
      <c r="G167" s="5"/>
      <c r="H167" s="5"/>
      <c r="I167" s="5"/>
    </row>
    <row r="168" spans="7:9" ht="12.75">
      <c r="G168" s="5"/>
      <c r="H168" s="5"/>
      <c r="I168" s="5"/>
    </row>
    <row r="169" spans="7:9" ht="12.75">
      <c r="G169" s="5"/>
      <c r="H169" s="5"/>
      <c r="I169" s="5"/>
    </row>
    <row r="170" spans="7:9" ht="12.75">
      <c r="G170" s="5"/>
      <c r="H170" s="5"/>
      <c r="I170" s="5"/>
    </row>
    <row r="171" spans="7:9" ht="12.75">
      <c r="G171" s="5"/>
      <c r="H171" s="5"/>
      <c r="I171" s="5"/>
    </row>
    <row r="172" spans="7:9" ht="12.75">
      <c r="G172" s="5"/>
      <c r="H172" s="5"/>
      <c r="I172" s="5"/>
    </row>
    <row r="173" spans="7:9" ht="12.75">
      <c r="G173" s="5"/>
      <c r="H173" s="5"/>
      <c r="I173" s="5"/>
    </row>
    <row r="174" spans="7:9" ht="12.75">
      <c r="G174" s="5"/>
      <c r="H174" s="5"/>
      <c r="I174" s="5"/>
    </row>
    <row r="175" spans="7:9" ht="12.75">
      <c r="G175" s="5"/>
      <c r="H175" s="5"/>
      <c r="I175" s="5"/>
    </row>
    <row r="176" spans="7:9" ht="12.75">
      <c r="G176" s="5"/>
      <c r="H176" s="5"/>
      <c r="I176" s="5"/>
    </row>
    <row r="177" spans="7:9" ht="12.75">
      <c r="G177" s="5"/>
      <c r="H177" s="5"/>
      <c r="I177" s="5"/>
    </row>
    <row r="178" spans="7:9" ht="12.75">
      <c r="G178" s="5"/>
      <c r="H178" s="5"/>
      <c r="I178" s="5"/>
    </row>
    <row r="179" spans="7:9" ht="12.75">
      <c r="G179" s="5"/>
      <c r="H179" s="5"/>
      <c r="I179" s="5"/>
    </row>
    <row r="180" spans="7:9" ht="12.75">
      <c r="G180" s="5"/>
      <c r="H180" s="5"/>
      <c r="I180" s="5"/>
    </row>
    <row r="181" spans="7:9" ht="12.75">
      <c r="G181" s="5"/>
      <c r="H181" s="5"/>
      <c r="I181" s="5"/>
    </row>
    <row r="182" spans="7:9" ht="12.75">
      <c r="G182" s="5"/>
      <c r="H182" s="5"/>
      <c r="I182" s="5"/>
    </row>
    <row r="183" spans="7:9" ht="12.75">
      <c r="G183" s="5"/>
      <c r="H183" s="5"/>
      <c r="I183" s="5"/>
    </row>
    <row r="184" spans="7:9" ht="12.75">
      <c r="G184" s="5"/>
      <c r="H184" s="5"/>
      <c r="I184" s="5"/>
    </row>
    <row r="185" spans="7:9" ht="12.75">
      <c r="G185" s="5"/>
      <c r="H185" s="5"/>
      <c r="I185" s="5"/>
    </row>
    <row r="186" spans="7:9" ht="12.75">
      <c r="G186" s="5"/>
      <c r="H186" s="5"/>
      <c r="I186" s="5"/>
    </row>
    <row r="187" spans="7:9" ht="12.75">
      <c r="G187" s="5"/>
      <c r="H187" s="5"/>
      <c r="I187" s="5"/>
    </row>
    <row r="188" spans="7:9" ht="12.75">
      <c r="G188" s="5"/>
      <c r="H188" s="5"/>
      <c r="I188" s="5"/>
    </row>
    <row r="189" spans="7:9" ht="12.75">
      <c r="G189" s="5"/>
      <c r="H189" s="5"/>
      <c r="I189" s="5"/>
    </row>
    <row r="190" spans="7:9" ht="12.75">
      <c r="G190" s="5"/>
      <c r="H190" s="5"/>
      <c r="I190" s="5"/>
    </row>
    <row r="191" spans="7:9" ht="12.75">
      <c r="G191" s="5"/>
      <c r="H191" s="5"/>
      <c r="I191" s="5"/>
    </row>
    <row r="192" spans="7:9" ht="12.75">
      <c r="G192" s="5"/>
      <c r="H192" s="5"/>
      <c r="I192" s="5"/>
    </row>
    <row r="193" spans="7:9" ht="12.75">
      <c r="G193" s="5"/>
      <c r="H193" s="5"/>
      <c r="I193" s="5"/>
    </row>
    <row r="194" spans="7:9" ht="12.75">
      <c r="G194" s="5"/>
      <c r="H194" s="5"/>
      <c r="I194" s="5"/>
    </row>
    <row r="195" spans="7:9" ht="12.75">
      <c r="G195" s="5"/>
      <c r="H195" s="5"/>
      <c r="I195" s="5"/>
    </row>
    <row r="196" spans="7:9" ht="12.75">
      <c r="G196" s="5"/>
      <c r="H196" s="5"/>
      <c r="I196" s="5"/>
    </row>
    <row r="197" spans="7:9" ht="12.75">
      <c r="G197" s="5"/>
      <c r="H197" s="5"/>
      <c r="I197" s="5"/>
    </row>
    <row r="198" spans="7:9" ht="12.75">
      <c r="G198" s="5"/>
      <c r="H198" s="5"/>
      <c r="I198" s="5"/>
    </row>
    <row r="199" spans="7:9" ht="12.75">
      <c r="G199" s="5"/>
      <c r="H199" s="5"/>
      <c r="I199" s="5"/>
    </row>
    <row r="200" spans="7:9" ht="12.75">
      <c r="G200" s="5"/>
      <c r="H200" s="5"/>
      <c r="I200" s="5"/>
    </row>
    <row r="201" spans="7:9" ht="12.75">
      <c r="G201" s="5"/>
      <c r="H201" s="5"/>
      <c r="I201" s="5"/>
    </row>
    <row r="202" spans="7:9" ht="12.75">
      <c r="G202" s="5"/>
      <c r="H202" s="5"/>
      <c r="I202" s="5"/>
    </row>
    <row r="203" spans="7:9" ht="12.75">
      <c r="G203" s="5"/>
      <c r="H203" s="5"/>
      <c r="I203" s="5"/>
    </row>
    <row r="204" spans="7:9" ht="12.75">
      <c r="G204" s="5"/>
      <c r="H204" s="5"/>
      <c r="I204" s="5"/>
    </row>
    <row r="205" spans="7:9" ht="12.75">
      <c r="G205" s="5"/>
      <c r="H205" s="5"/>
      <c r="I205" s="5"/>
    </row>
    <row r="206" spans="7:9" ht="12.75">
      <c r="G206" s="5"/>
      <c r="H206" s="5"/>
      <c r="I206" s="5"/>
    </row>
    <row r="207" spans="7:9" ht="12.75">
      <c r="G207" s="5"/>
      <c r="H207" s="5"/>
      <c r="I207" s="5"/>
    </row>
    <row r="208" spans="7:9" ht="12.75">
      <c r="G208" s="5"/>
      <c r="H208" s="5"/>
      <c r="I208" s="5"/>
    </row>
    <row r="209" spans="7:9" ht="12.75">
      <c r="G209" s="5"/>
      <c r="H209" s="5"/>
      <c r="I209" s="5"/>
    </row>
    <row r="210" spans="7:9" ht="12.75">
      <c r="G210" s="5"/>
      <c r="H210" s="5"/>
      <c r="I210" s="5"/>
    </row>
    <row r="211" spans="7:9" ht="12.75">
      <c r="G211" s="5"/>
      <c r="H211" s="5"/>
      <c r="I211" s="5"/>
    </row>
    <row r="212" spans="7:9" ht="12.75">
      <c r="G212" s="5"/>
      <c r="H212" s="5"/>
      <c r="I212" s="5"/>
    </row>
    <row r="213" spans="7:9" ht="12.75">
      <c r="G213" s="5"/>
      <c r="H213" s="5"/>
      <c r="I213" s="5"/>
    </row>
    <row r="214" spans="7:9" ht="12.75">
      <c r="G214" s="5"/>
      <c r="H214" s="5"/>
      <c r="I214" s="5"/>
    </row>
    <row r="215" spans="7:9" ht="12.75">
      <c r="G215" s="5"/>
      <c r="H215" s="5"/>
      <c r="I215" s="5"/>
    </row>
    <row r="216" spans="7:9" ht="12.75">
      <c r="G216" s="5"/>
      <c r="H216" s="5"/>
      <c r="I216" s="5"/>
    </row>
    <row r="217" spans="7:9" ht="12.75">
      <c r="G217" s="5"/>
      <c r="H217" s="5"/>
      <c r="I217" s="5"/>
    </row>
    <row r="218" spans="7:9" ht="12.75">
      <c r="G218" s="5"/>
      <c r="H218" s="5"/>
      <c r="I218" s="5"/>
    </row>
    <row r="219" spans="7:9" ht="12.75">
      <c r="G219" s="5"/>
      <c r="H219" s="5"/>
      <c r="I219" s="5"/>
    </row>
    <row r="220" spans="7:9" ht="12.75">
      <c r="G220" s="5"/>
      <c r="H220" s="5"/>
      <c r="I220" s="5"/>
    </row>
    <row r="221" spans="7:9" ht="12.75">
      <c r="G221" s="5"/>
      <c r="H221" s="5"/>
      <c r="I221" s="5"/>
    </row>
    <row r="222" spans="7:9" ht="12.75">
      <c r="G222" s="5"/>
      <c r="H222" s="5"/>
      <c r="I222" s="5"/>
    </row>
    <row r="223" spans="7:9" ht="12.75">
      <c r="G223" s="5"/>
      <c r="H223" s="5"/>
      <c r="I223" s="5"/>
    </row>
    <row r="224" spans="7:9" ht="12.75">
      <c r="G224" s="5"/>
      <c r="H224" s="5"/>
      <c r="I224" s="5"/>
    </row>
    <row r="225" spans="7:9" ht="12.75">
      <c r="G225" s="5"/>
      <c r="H225" s="5"/>
      <c r="I225" s="5"/>
    </row>
    <row r="226" spans="7:9" ht="12.75">
      <c r="G226" s="5"/>
      <c r="H226" s="5"/>
      <c r="I226" s="5"/>
    </row>
    <row r="227" spans="7:9" ht="12.75">
      <c r="G227" s="5"/>
      <c r="H227" s="5"/>
      <c r="I227" s="5"/>
    </row>
    <row r="228" spans="7:9" ht="12.75">
      <c r="G228" s="5"/>
      <c r="H228" s="5"/>
      <c r="I228" s="5"/>
    </row>
    <row r="229" spans="7:9" ht="12.75">
      <c r="G229" s="5"/>
      <c r="H229" s="5"/>
      <c r="I229" s="5"/>
    </row>
    <row r="230" spans="7:9" ht="12.75">
      <c r="G230" s="5"/>
      <c r="H230" s="5"/>
      <c r="I230" s="5"/>
    </row>
    <row r="231" spans="7:9" ht="12.75">
      <c r="G231" s="5"/>
      <c r="H231" s="5"/>
      <c r="I231" s="5"/>
    </row>
    <row r="232" spans="7:9" ht="12.75">
      <c r="G232" s="5"/>
      <c r="H232" s="5"/>
      <c r="I232" s="5"/>
    </row>
    <row r="233" spans="7:9" ht="12.75">
      <c r="G233" s="5"/>
      <c r="H233" s="5"/>
      <c r="I233" s="5"/>
    </row>
    <row r="234" spans="7:9" ht="12.75">
      <c r="G234" s="5"/>
      <c r="H234" s="5"/>
      <c r="I234" s="5"/>
    </row>
    <row r="235" spans="7:9" ht="12.75">
      <c r="G235" s="5"/>
      <c r="H235" s="5"/>
      <c r="I235" s="5"/>
    </row>
    <row r="236" spans="7:9" ht="12.75">
      <c r="G236" s="5"/>
      <c r="H236" s="5"/>
      <c r="I236" s="5"/>
    </row>
    <row r="237" spans="7:9" ht="12.75">
      <c r="G237" s="5"/>
      <c r="H237" s="5"/>
      <c r="I237" s="5"/>
    </row>
    <row r="238" spans="7:9" ht="12.75">
      <c r="G238" s="5"/>
      <c r="H238" s="5"/>
      <c r="I238" s="5"/>
    </row>
    <row r="239" spans="7:9" ht="12.75">
      <c r="G239" s="5"/>
      <c r="H239" s="5"/>
      <c r="I239" s="5"/>
    </row>
    <row r="240" spans="7:9" ht="12.75">
      <c r="G240" s="5"/>
      <c r="H240" s="5"/>
      <c r="I240" s="5"/>
    </row>
    <row r="241" spans="7:9" ht="12.75">
      <c r="G241" s="5"/>
      <c r="H241" s="5"/>
      <c r="I241" s="5"/>
    </row>
    <row r="242" spans="7:9" ht="12.75">
      <c r="G242" s="5"/>
      <c r="H242" s="5"/>
      <c r="I242" s="5"/>
    </row>
    <row r="243" spans="7:9" ht="12.75">
      <c r="G243" s="5"/>
      <c r="H243" s="5"/>
      <c r="I243" s="5"/>
    </row>
    <row r="244" spans="7:9" ht="12.75">
      <c r="G244" s="5"/>
      <c r="H244" s="5"/>
      <c r="I244" s="5"/>
    </row>
    <row r="245" spans="7:9" ht="12.75">
      <c r="G245" s="5"/>
      <c r="H245" s="5"/>
      <c r="I245" s="5"/>
    </row>
    <row r="246" spans="7:9" ht="12.75">
      <c r="G246" s="5"/>
      <c r="H246" s="5"/>
      <c r="I246" s="5"/>
    </row>
    <row r="247" spans="7:9" ht="12.75">
      <c r="G247" s="5"/>
      <c r="H247" s="5"/>
      <c r="I247" s="5"/>
    </row>
    <row r="248" spans="7:9" ht="12.75">
      <c r="G248" s="5"/>
      <c r="H248" s="5"/>
      <c r="I248" s="5"/>
    </row>
    <row r="249" spans="7:9" ht="12.75">
      <c r="G249" s="5"/>
      <c r="H249" s="5"/>
      <c r="I249" s="5"/>
    </row>
    <row r="250" spans="7:9" ht="12.75">
      <c r="G250" s="5"/>
      <c r="H250" s="5"/>
      <c r="I250" s="5"/>
    </row>
    <row r="251" spans="7:9" ht="12.75">
      <c r="G251" s="5"/>
      <c r="H251" s="5"/>
      <c r="I251" s="5"/>
    </row>
    <row r="252" spans="7:9" ht="12.75">
      <c r="G252" s="5"/>
      <c r="H252" s="5"/>
      <c r="I252" s="5"/>
    </row>
    <row r="253" spans="7:9" ht="12.75">
      <c r="G253" s="5"/>
      <c r="H253" s="5"/>
      <c r="I253" s="5"/>
    </row>
    <row r="254" spans="7:9" ht="12.75">
      <c r="G254" s="5"/>
      <c r="H254" s="5"/>
      <c r="I254" s="5"/>
    </row>
    <row r="255" spans="7:9" ht="12.75">
      <c r="G255" s="5"/>
      <c r="H255" s="5"/>
      <c r="I255" s="5"/>
    </row>
    <row r="256" spans="7:9" ht="12.75">
      <c r="G256" s="5"/>
      <c r="H256" s="5"/>
      <c r="I256" s="5"/>
    </row>
    <row r="257" spans="7:9" ht="12.75">
      <c r="G257" s="5"/>
      <c r="H257" s="5"/>
      <c r="I257" s="5"/>
    </row>
    <row r="258" spans="7:9" ht="12.75">
      <c r="G258" s="5"/>
      <c r="H258" s="5"/>
      <c r="I258" s="5"/>
    </row>
    <row r="259" spans="7:9" ht="12.75">
      <c r="G259" s="5"/>
      <c r="H259" s="5"/>
      <c r="I259" s="5"/>
    </row>
    <row r="260" spans="7:9" ht="12.75">
      <c r="G260" s="5"/>
      <c r="H260" s="5"/>
      <c r="I260" s="5"/>
    </row>
    <row r="261" spans="7:9" ht="12.75">
      <c r="G261" s="5"/>
      <c r="H261" s="5"/>
      <c r="I261" s="5"/>
    </row>
    <row r="262" spans="7:9" ht="12.75">
      <c r="G262" s="5"/>
      <c r="H262" s="5"/>
      <c r="I262" s="5"/>
    </row>
    <row r="263" spans="7:9" ht="12.75">
      <c r="G263" s="5"/>
      <c r="H263" s="5"/>
      <c r="I263" s="5"/>
    </row>
    <row r="264" spans="7:9" ht="12.75">
      <c r="G264" s="5"/>
      <c r="H264" s="5"/>
      <c r="I264" s="5"/>
    </row>
    <row r="265" spans="7:9" ht="12.75">
      <c r="G265" s="5"/>
      <c r="H265" s="5"/>
      <c r="I265" s="5"/>
    </row>
    <row r="266" spans="7:9" ht="12.75">
      <c r="G266" s="5"/>
      <c r="H266" s="5"/>
      <c r="I266" s="5"/>
    </row>
    <row r="267" spans="7:9" ht="12.75">
      <c r="G267" s="5"/>
      <c r="H267" s="5"/>
      <c r="I267" s="5"/>
    </row>
    <row r="268" spans="7:9" ht="12.75">
      <c r="G268" s="5"/>
      <c r="H268" s="5"/>
      <c r="I268" s="5"/>
    </row>
    <row r="269" spans="7:9" ht="12.75">
      <c r="G269" s="5"/>
      <c r="H269" s="5"/>
      <c r="I269" s="5"/>
    </row>
    <row r="270" spans="7:9" ht="12.75">
      <c r="G270" s="5"/>
      <c r="H270" s="5"/>
      <c r="I270" s="5"/>
    </row>
    <row r="271" spans="7:9" ht="12.75">
      <c r="G271" s="5"/>
      <c r="H271" s="5"/>
      <c r="I271" s="5"/>
    </row>
    <row r="272" spans="7:9" ht="12.75">
      <c r="G272" s="5"/>
      <c r="H272" s="5"/>
      <c r="I272" s="5"/>
    </row>
    <row r="273" spans="7:9" ht="12.75">
      <c r="G273" s="5"/>
      <c r="H273" s="5"/>
      <c r="I273" s="5"/>
    </row>
    <row r="274" spans="7:9" ht="12.75">
      <c r="G274" s="5"/>
      <c r="H274" s="5"/>
      <c r="I274" s="5"/>
    </row>
    <row r="275" spans="7:9" ht="12.75">
      <c r="G275" s="5"/>
      <c r="H275" s="5"/>
      <c r="I275" s="5"/>
    </row>
    <row r="276" spans="7:9" ht="12.75">
      <c r="G276" s="5"/>
      <c r="H276" s="5"/>
      <c r="I276" s="5"/>
    </row>
    <row r="277" spans="7:9" ht="12.75">
      <c r="G277" s="5"/>
      <c r="H277" s="5"/>
      <c r="I277" s="5"/>
    </row>
    <row r="278" spans="7:9" ht="12.75">
      <c r="G278" s="5"/>
      <c r="H278" s="5"/>
      <c r="I278" s="5"/>
    </row>
    <row r="279" spans="7:9" ht="12.75">
      <c r="G279" s="5"/>
      <c r="H279" s="5"/>
      <c r="I279" s="5"/>
    </row>
    <row r="280" spans="7:9" ht="12.75">
      <c r="G280" s="5"/>
      <c r="H280" s="5"/>
      <c r="I280" s="5"/>
    </row>
    <row r="281" spans="7:9" ht="12.75">
      <c r="G281" s="5"/>
      <c r="H281" s="5"/>
      <c r="I281" s="5"/>
    </row>
    <row r="282" spans="7:9" ht="12.75">
      <c r="G282" s="5"/>
      <c r="H282" s="5"/>
      <c r="I282" s="5"/>
    </row>
    <row r="283" spans="7:9" ht="12.75">
      <c r="G283" s="5"/>
      <c r="H283" s="5"/>
      <c r="I283" s="5"/>
    </row>
    <row r="284" spans="7:9" ht="12.75">
      <c r="G284" s="5"/>
      <c r="H284" s="5"/>
      <c r="I284" s="5"/>
    </row>
    <row r="285" spans="7:9" ht="12.75">
      <c r="G285" s="5"/>
      <c r="H285" s="5"/>
      <c r="I285" s="5"/>
    </row>
    <row r="286" spans="7:9" ht="12.75">
      <c r="G286" s="5"/>
      <c r="H286" s="5"/>
      <c r="I286" s="5"/>
    </row>
    <row r="287" spans="7:9" ht="12.75">
      <c r="G287" s="5"/>
      <c r="H287" s="5"/>
      <c r="I287" s="5"/>
    </row>
    <row r="288" spans="7:9" ht="12.75">
      <c r="G288" s="5"/>
      <c r="H288" s="5"/>
      <c r="I288" s="5"/>
    </row>
    <row r="289" spans="7:9" ht="12.75">
      <c r="G289" s="5"/>
      <c r="H289" s="5"/>
      <c r="I289" s="5"/>
    </row>
    <row r="290" spans="7:9" ht="12.75">
      <c r="G290" s="5"/>
      <c r="H290" s="5"/>
      <c r="I290" s="5"/>
    </row>
    <row r="291" spans="7:9" ht="12.75">
      <c r="G291" s="5"/>
      <c r="H291" s="5"/>
      <c r="I291" s="5"/>
    </row>
    <row r="292" spans="7:9" ht="12.75">
      <c r="G292" s="5"/>
      <c r="H292" s="5"/>
      <c r="I292" s="5"/>
    </row>
    <row r="293" spans="7:9" ht="12.75">
      <c r="G293" s="5"/>
      <c r="H293" s="5"/>
      <c r="I293" s="5"/>
    </row>
    <row r="294" spans="7:9" ht="12.75">
      <c r="G294" s="5"/>
      <c r="H294" s="5"/>
      <c r="I294" s="5"/>
    </row>
    <row r="295" spans="7:9" ht="12.75">
      <c r="G295" s="5"/>
      <c r="H295" s="5"/>
      <c r="I295" s="5"/>
    </row>
    <row r="296" spans="7:9" ht="12.75">
      <c r="G296" s="5"/>
      <c r="H296" s="5"/>
      <c r="I296" s="5"/>
    </row>
    <row r="297" spans="7:9" ht="12.75">
      <c r="G297" s="5"/>
      <c r="H297" s="5"/>
      <c r="I297" s="5"/>
    </row>
    <row r="298" spans="7:9" ht="12.75">
      <c r="G298" s="5"/>
      <c r="H298" s="5"/>
      <c r="I298" s="5"/>
    </row>
    <row r="299" spans="7:9" ht="12.75">
      <c r="G299" s="5"/>
      <c r="H299" s="5"/>
      <c r="I299" s="5"/>
    </row>
    <row r="300" spans="7:9" ht="12.75">
      <c r="G300" s="5"/>
      <c r="H300" s="5"/>
      <c r="I300" s="5"/>
    </row>
    <row r="301" spans="7:9" ht="12.75">
      <c r="G301" s="5"/>
      <c r="H301" s="5"/>
      <c r="I301" s="5"/>
    </row>
    <row r="302" spans="7:9" ht="12.75">
      <c r="G302" s="5"/>
      <c r="H302" s="5"/>
      <c r="I302" s="5"/>
    </row>
    <row r="303" spans="7:9" ht="12.75">
      <c r="G303" s="5"/>
      <c r="H303" s="5"/>
      <c r="I303" s="5"/>
    </row>
    <row r="304" spans="7:9" ht="12.75">
      <c r="G304" s="5"/>
      <c r="H304" s="5"/>
      <c r="I304" s="5"/>
    </row>
    <row r="305" spans="7:9" ht="12.75">
      <c r="G305" s="5"/>
      <c r="H305" s="5"/>
      <c r="I305" s="5"/>
    </row>
    <row r="306" spans="7:9" ht="12.75">
      <c r="G306" s="5"/>
      <c r="H306" s="5"/>
      <c r="I306" s="5"/>
    </row>
    <row r="307" spans="7:9" ht="12.75">
      <c r="G307" s="5"/>
      <c r="H307" s="5"/>
      <c r="I307" s="5"/>
    </row>
    <row r="308" spans="7:9" ht="12.75">
      <c r="G308" s="5"/>
      <c r="H308" s="5"/>
      <c r="I308" s="5"/>
    </row>
    <row r="309" spans="7:9" ht="12.75">
      <c r="G309" s="5"/>
      <c r="H309" s="5"/>
      <c r="I309" s="5"/>
    </row>
    <row r="310" spans="7:9" ht="12.75">
      <c r="G310" s="5"/>
      <c r="H310" s="5"/>
      <c r="I310" s="5"/>
    </row>
    <row r="311" spans="7:9" ht="12.75">
      <c r="G311" s="5"/>
      <c r="H311" s="5"/>
      <c r="I311" s="5"/>
    </row>
    <row r="312" spans="7:9" ht="12.75">
      <c r="G312" s="5"/>
      <c r="H312" s="5"/>
      <c r="I312" s="5"/>
    </row>
    <row r="313" spans="7:9" ht="12.75">
      <c r="G313" s="5"/>
      <c r="H313" s="5"/>
      <c r="I313" s="5"/>
    </row>
    <row r="314" spans="7:9" ht="12.75">
      <c r="G314" s="5"/>
      <c r="H314" s="5"/>
      <c r="I314" s="5"/>
    </row>
    <row r="315" spans="7:9" ht="12.75">
      <c r="G315" s="5"/>
      <c r="H315" s="5"/>
      <c r="I315" s="5"/>
    </row>
    <row r="316" spans="7:9" ht="12.75">
      <c r="G316" s="5"/>
      <c r="H316" s="5"/>
      <c r="I316" s="5"/>
    </row>
    <row r="317" spans="7:9" ht="12.75">
      <c r="G317" s="5"/>
      <c r="H317" s="5"/>
      <c r="I317" s="5"/>
    </row>
    <row r="318" spans="7:9" ht="12.75">
      <c r="G318" s="5"/>
      <c r="H318" s="5"/>
      <c r="I318" s="5"/>
    </row>
    <row r="319" spans="7:9" ht="12.75">
      <c r="G319" s="5"/>
      <c r="H319" s="5"/>
      <c r="I319" s="5"/>
    </row>
    <row r="320" spans="7:9" ht="12.75">
      <c r="G320" s="5"/>
      <c r="H320" s="5"/>
      <c r="I320" s="5"/>
    </row>
    <row r="321" spans="7:9" ht="12.75">
      <c r="G321" s="5"/>
      <c r="H321" s="5"/>
      <c r="I321" s="5"/>
    </row>
    <row r="322" spans="7:9" ht="12.75">
      <c r="G322" s="5"/>
      <c r="H322" s="5"/>
      <c r="I322" s="5"/>
    </row>
    <row r="323" spans="7:9" ht="12.75">
      <c r="G323" s="5"/>
      <c r="H323" s="5"/>
      <c r="I323" s="5"/>
    </row>
    <row r="324" spans="7:9" ht="12.75">
      <c r="G324" s="5"/>
      <c r="H324" s="5"/>
      <c r="I324" s="5"/>
    </row>
    <row r="325" spans="7:9" ht="12.75">
      <c r="G325" s="5"/>
      <c r="H325" s="5"/>
      <c r="I325" s="5"/>
    </row>
    <row r="326" spans="7:9" ht="12.75">
      <c r="G326" s="5"/>
      <c r="H326" s="5"/>
      <c r="I326" s="5"/>
    </row>
    <row r="327" spans="7:9" ht="12.75">
      <c r="G327" s="5"/>
      <c r="H327" s="5"/>
      <c r="I327" s="5"/>
    </row>
    <row r="328" spans="7:9" ht="12.75">
      <c r="G328" s="5"/>
      <c r="H328" s="5"/>
      <c r="I328" s="5"/>
    </row>
    <row r="329" spans="7:9" ht="12.75">
      <c r="G329" s="5"/>
      <c r="H329" s="5"/>
      <c r="I329" s="5"/>
    </row>
    <row r="330" spans="7:9" ht="12.75">
      <c r="G330" s="5"/>
      <c r="H330" s="5"/>
      <c r="I330" s="5"/>
    </row>
    <row r="331" spans="7:9" ht="12.75">
      <c r="G331" s="5"/>
      <c r="H331" s="5"/>
      <c r="I331" s="5"/>
    </row>
    <row r="332" spans="7:9" ht="12.75">
      <c r="G332" s="5"/>
      <c r="H332" s="5"/>
      <c r="I332" s="5"/>
    </row>
    <row r="333" spans="7:9" ht="12.75">
      <c r="G333" s="5"/>
      <c r="H333" s="5"/>
      <c r="I333" s="5"/>
    </row>
    <row r="334" spans="7:9" ht="12.75">
      <c r="G334" s="5"/>
      <c r="H334" s="5"/>
      <c r="I334" s="5"/>
    </row>
    <row r="335" spans="7:9" ht="12.75">
      <c r="G335" s="5"/>
      <c r="H335" s="5"/>
      <c r="I335" s="5"/>
    </row>
    <row r="336" spans="7:9" ht="12.75">
      <c r="G336" s="5"/>
      <c r="H336" s="5"/>
      <c r="I336" s="5"/>
    </row>
    <row r="337" spans="7:9" ht="12.75">
      <c r="G337" s="5"/>
      <c r="H337" s="5"/>
      <c r="I337" s="5"/>
    </row>
    <row r="338" spans="7:9" ht="12.75">
      <c r="G338" s="5"/>
      <c r="H338" s="5"/>
      <c r="I338" s="5"/>
    </row>
    <row r="339" spans="7:9" ht="12.75">
      <c r="G339" s="5"/>
      <c r="H339" s="5"/>
      <c r="I339" s="5"/>
    </row>
    <row r="340" spans="7:9" ht="12.75">
      <c r="G340" s="5"/>
      <c r="H340" s="5"/>
      <c r="I340" s="5"/>
    </row>
    <row r="341" spans="7:9" ht="12.75">
      <c r="G341" s="5"/>
      <c r="H341" s="5"/>
      <c r="I341" s="5"/>
    </row>
    <row r="342" spans="7:9" ht="12.75">
      <c r="G342" s="5"/>
      <c r="H342" s="5"/>
      <c r="I342" s="5"/>
    </row>
    <row r="343" spans="7:9" ht="12.75">
      <c r="G343" s="5"/>
      <c r="H343" s="5"/>
      <c r="I343" s="5"/>
    </row>
    <row r="344" spans="7:9" ht="12.75">
      <c r="G344" s="5"/>
      <c r="H344" s="5"/>
      <c r="I344" s="5"/>
    </row>
    <row r="345" spans="7:9" ht="12.75">
      <c r="G345" s="5"/>
      <c r="H345" s="5"/>
      <c r="I345" s="5"/>
    </row>
    <row r="346" spans="7:9" ht="12.75">
      <c r="G346" s="5"/>
      <c r="H346" s="5"/>
      <c r="I346" s="5"/>
    </row>
    <row r="347" spans="7:9" ht="12.75">
      <c r="G347" s="5"/>
      <c r="H347" s="5"/>
      <c r="I347" s="5"/>
    </row>
    <row r="348" spans="7:9" ht="12.75">
      <c r="G348" s="5"/>
      <c r="H348" s="5"/>
      <c r="I348" s="5"/>
    </row>
    <row r="349" spans="7:9" ht="12.75">
      <c r="G349" s="5"/>
      <c r="H349" s="5"/>
      <c r="I349" s="5"/>
    </row>
    <row r="350" spans="7:9" ht="12.75">
      <c r="G350" s="5"/>
      <c r="H350" s="5"/>
      <c r="I350" s="5"/>
    </row>
    <row r="351" spans="7:9" ht="12.75">
      <c r="G351" s="5"/>
      <c r="H351" s="5"/>
      <c r="I351" s="5"/>
    </row>
    <row r="352" spans="7:9" ht="12.75">
      <c r="G352" s="5"/>
      <c r="H352" s="5"/>
      <c r="I352" s="5"/>
    </row>
    <row r="353" spans="7:9" ht="12.75">
      <c r="G353" s="5"/>
      <c r="H353" s="5"/>
      <c r="I353" s="5"/>
    </row>
    <row r="354" spans="7:9" ht="12.75">
      <c r="G354" s="5"/>
      <c r="H354" s="5"/>
      <c r="I354" s="5"/>
    </row>
    <row r="355" spans="7:9" ht="12.75">
      <c r="G355" s="5"/>
      <c r="H355" s="5"/>
      <c r="I355" s="5"/>
    </row>
    <row r="356" spans="7:9" ht="12.75">
      <c r="G356" s="5"/>
      <c r="H356" s="5"/>
      <c r="I356" s="5"/>
    </row>
    <row r="357" spans="7:9" ht="12.75">
      <c r="G357" s="5"/>
      <c r="H357" s="5"/>
      <c r="I357" s="5"/>
    </row>
    <row r="358" spans="7:9" ht="12.75">
      <c r="G358" s="5"/>
      <c r="H358" s="5"/>
      <c r="I358" s="5"/>
    </row>
    <row r="359" spans="7:9" ht="12.75">
      <c r="G359" s="5"/>
      <c r="H359" s="5"/>
      <c r="I359" s="5"/>
    </row>
    <row r="360" spans="7:9" ht="12.75">
      <c r="G360" s="5"/>
      <c r="H360" s="5"/>
      <c r="I360" s="5"/>
    </row>
    <row r="361" spans="7:9" ht="12.75">
      <c r="G361" s="5"/>
      <c r="H361" s="5"/>
      <c r="I361" s="5"/>
    </row>
    <row r="362" spans="7:9" ht="12.75">
      <c r="G362" s="5"/>
      <c r="H362" s="5"/>
      <c r="I362" s="5"/>
    </row>
    <row r="363" spans="7:9" ht="12.75">
      <c r="G363" s="5"/>
      <c r="H363" s="5"/>
      <c r="I363" s="5"/>
    </row>
    <row r="364" spans="7:9" ht="12.75">
      <c r="G364" s="5"/>
      <c r="H364" s="5"/>
      <c r="I364" s="5"/>
    </row>
    <row r="365" spans="7:9" ht="12.75">
      <c r="G365" s="5"/>
      <c r="H365" s="5"/>
      <c r="I365" s="5"/>
    </row>
    <row r="366" spans="7:9" ht="12.75">
      <c r="G366" s="5"/>
      <c r="H366" s="5"/>
      <c r="I366" s="5"/>
    </row>
    <row r="367" spans="7:9" ht="12.75">
      <c r="G367" s="5"/>
      <c r="H367" s="5"/>
      <c r="I367" s="5"/>
    </row>
    <row r="368" spans="7:9" ht="12.75">
      <c r="G368" s="5"/>
      <c r="H368" s="5"/>
      <c r="I368" s="5"/>
    </row>
    <row r="369" spans="7:9" ht="12.75">
      <c r="G369" s="5"/>
      <c r="H369" s="5"/>
      <c r="I369" s="5"/>
    </row>
    <row r="370" spans="7:9" ht="12.75">
      <c r="G370" s="5"/>
      <c r="H370" s="5"/>
      <c r="I370" s="5"/>
    </row>
    <row r="371" spans="7:9" ht="12.75">
      <c r="G371" s="5"/>
      <c r="H371" s="5"/>
      <c r="I371" s="5"/>
    </row>
    <row r="372" spans="7:9" ht="12.75">
      <c r="G372" s="5"/>
      <c r="H372" s="5"/>
      <c r="I372" s="5"/>
    </row>
    <row r="373" spans="7:9" ht="12.75">
      <c r="G373" s="5"/>
      <c r="H373" s="5"/>
      <c r="I373" s="5"/>
    </row>
    <row r="374" spans="7:9" ht="12.75">
      <c r="G374" s="5"/>
      <c r="H374" s="5"/>
      <c r="I374" s="5"/>
    </row>
    <row r="375" spans="7:9" ht="12.75">
      <c r="G375" s="5"/>
      <c r="H375" s="5"/>
      <c r="I375" s="5"/>
    </row>
    <row r="376" spans="7:9" ht="12.75">
      <c r="G376" s="5"/>
      <c r="H376" s="5"/>
      <c r="I376" s="5"/>
    </row>
    <row r="377" spans="7:9" ht="12.75">
      <c r="G377" s="5"/>
      <c r="H377" s="5"/>
      <c r="I377" s="5"/>
    </row>
    <row r="378" spans="7:9" ht="12.75">
      <c r="G378" s="5"/>
      <c r="H378" s="5"/>
      <c r="I378" s="5"/>
    </row>
    <row r="379" spans="7:9" ht="12.75">
      <c r="G379" s="5"/>
      <c r="H379" s="5"/>
      <c r="I379" s="5"/>
    </row>
    <row r="380" spans="7:9" ht="12.75">
      <c r="G380" s="5"/>
      <c r="H380" s="5"/>
      <c r="I380" s="5"/>
    </row>
    <row r="381" spans="7:9" ht="12.75">
      <c r="G381" s="5"/>
      <c r="H381" s="5"/>
      <c r="I381" s="5"/>
    </row>
    <row r="382" spans="7:9" ht="12.75">
      <c r="G382" s="5"/>
      <c r="H382" s="5"/>
      <c r="I382" s="5"/>
    </row>
    <row r="383" spans="7:9" ht="12.75">
      <c r="G383" s="5"/>
      <c r="H383" s="5"/>
      <c r="I383" s="5"/>
    </row>
    <row r="384" spans="7:9" ht="12.75">
      <c r="G384" s="5"/>
      <c r="H384" s="5"/>
      <c r="I384" s="5"/>
    </row>
    <row r="385" spans="7:9" ht="12.75">
      <c r="G385" s="5"/>
      <c r="H385" s="5"/>
      <c r="I385" s="5"/>
    </row>
    <row r="386" spans="7:9" ht="12.75">
      <c r="G386" s="5"/>
      <c r="H386" s="5"/>
      <c r="I386" s="5"/>
    </row>
    <row r="387" spans="7:9" ht="12.75">
      <c r="G387" s="5"/>
      <c r="H387" s="5"/>
      <c r="I387" s="5"/>
    </row>
    <row r="388" spans="7:9" ht="12.75">
      <c r="G388" s="5"/>
      <c r="H388" s="5"/>
      <c r="I388" s="5"/>
    </row>
    <row r="389" spans="7:9" ht="12.75">
      <c r="G389" s="5"/>
      <c r="H389" s="5"/>
      <c r="I389" s="5"/>
    </row>
    <row r="390" spans="7:9" ht="12.75">
      <c r="G390" s="5"/>
      <c r="H390" s="5"/>
      <c r="I390" s="5"/>
    </row>
    <row r="391" spans="7:9" ht="12.75">
      <c r="G391" s="5"/>
      <c r="H391" s="5"/>
      <c r="I391" s="5"/>
    </row>
    <row r="392" spans="7:9" ht="12.75">
      <c r="G392" s="5"/>
      <c r="H392" s="5"/>
      <c r="I392" s="5"/>
    </row>
    <row r="393" spans="7:9" ht="12.75">
      <c r="G393" s="5"/>
      <c r="H393" s="5"/>
      <c r="I393" s="5"/>
    </row>
    <row r="394" spans="7:9" ht="12.75">
      <c r="G394" s="5"/>
      <c r="H394" s="5"/>
      <c r="I394" s="5"/>
    </row>
    <row r="395" spans="7:9" ht="12.75">
      <c r="G395" s="5"/>
      <c r="H395" s="5"/>
      <c r="I395" s="5"/>
    </row>
    <row r="396" spans="7:9" ht="12.75">
      <c r="G396" s="5"/>
      <c r="H396" s="5"/>
      <c r="I396" s="5"/>
    </row>
    <row r="397" spans="7:9" ht="12.75">
      <c r="G397" s="5"/>
      <c r="H397" s="5"/>
      <c r="I397" s="5"/>
    </row>
    <row r="398" spans="7:9" ht="12.75">
      <c r="G398" s="5"/>
      <c r="H398" s="5"/>
      <c r="I398" s="5"/>
    </row>
    <row r="399" spans="7:9" ht="12.75">
      <c r="G399" s="5"/>
      <c r="H399" s="5"/>
      <c r="I399" s="5"/>
    </row>
    <row r="400" spans="7:9" ht="12.75">
      <c r="G400" s="5"/>
      <c r="H400" s="5"/>
      <c r="I400" s="5"/>
    </row>
    <row r="401" spans="7:9" ht="12.75">
      <c r="G401" s="5"/>
      <c r="H401" s="5"/>
      <c r="I401" s="5"/>
    </row>
    <row r="402" spans="7:9" ht="12.75">
      <c r="G402" s="5"/>
      <c r="H402" s="5"/>
      <c r="I402" s="5"/>
    </row>
    <row r="403" spans="7:9" ht="12.75">
      <c r="G403" s="5"/>
      <c r="H403" s="5"/>
      <c r="I403" s="5"/>
    </row>
    <row r="404" spans="7:9" ht="12.75">
      <c r="G404" s="5"/>
      <c r="H404" s="5"/>
      <c r="I404" s="5"/>
    </row>
    <row r="405" spans="7:9" ht="12.75">
      <c r="G405" s="5"/>
      <c r="H405" s="5"/>
      <c r="I405" s="5"/>
    </row>
    <row r="406" spans="7:9" ht="12.75">
      <c r="G406" s="5"/>
      <c r="H406" s="5"/>
      <c r="I406" s="5"/>
    </row>
    <row r="407" spans="7:9" ht="12.75">
      <c r="G407" s="5"/>
      <c r="H407" s="5"/>
      <c r="I407" s="5"/>
    </row>
    <row r="408" spans="7:9" ht="12.75">
      <c r="G408" s="5"/>
      <c r="H408" s="5"/>
      <c r="I408" s="5"/>
    </row>
    <row r="409" spans="7:9" ht="12.75">
      <c r="G409" s="5"/>
      <c r="H409" s="5"/>
      <c r="I409" s="5"/>
    </row>
    <row r="410" spans="7:9" ht="12.75">
      <c r="G410" s="5"/>
      <c r="H410" s="5"/>
      <c r="I410" s="5"/>
    </row>
    <row r="411" spans="7:9" ht="12.75">
      <c r="G411" s="5"/>
      <c r="H411" s="5"/>
      <c r="I411" s="5"/>
    </row>
    <row r="412" spans="7:9" ht="12.75">
      <c r="G412" s="5"/>
      <c r="H412" s="5"/>
      <c r="I412" s="5"/>
    </row>
    <row r="413" spans="7:9" ht="12.75">
      <c r="G413" s="5"/>
      <c r="H413" s="5"/>
      <c r="I413" s="5"/>
    </row>
    <row r="414" spans="7:9" ht="12.75">
      <c r="G414" s="5"/>
      <c r="H414" s="5"/>
      <c r="I414" s="5"/>
    </row>
    <row r="415" spans="7:9" ht="12.75">
      <c r="G415" s="5"/>
      <c r="H415" s="5"/>
      <c r="I415" s="5"/>
    </row>
    <row r="416" spans="7:9" ht="12.75">
      <c r="G416" s="5"/>
      <c r="H416" s="5"/>
      <c r="I416" s="5"/>
    </row>
    <row r="417" spans="7:9" ht="12.75">
      <c r="G417" s="5"/>
      <c r="H417" s="5"/>
      <c r="I417" s="5"/>
    </row>
    <row r="418" spans="7:9" ht="12.75">
      <c r="G418" s="5"/>
      <c r="H418" s="5"/>
      <c r="I418" s="5"/>
    </row>
    <row r="419" spans="7:9" ht="12.75">
      <c r="G419" s="5"/>
      <c r="H419" s="5"/>
      <c r="I419" s="5"/>
    </row>
    <row r="420" spans="7:9" ht="12.75">
      <c r="G420" s="5"/>
      <c r="H420" s="5"/>
      <c r="I420" s="5"/>
    </row>
    <row r="421" spans="7:9" ht="12.75">
      <c r="G421" s="5"/>
      <c r="H421" s="5"/>
      <c r="I421" s="5"/>
    </row>
    <row r="422" spans="7:9" ht="12.75">
      <c r="G422" s="5"/>
      <c r="H422" s="5"/>
      <c r="I422" s="5"/>
    </row>
    <row r="423" spans="7:9" ht="12.75">
      <c r="G423" s="5"/>
      <c r="H423" s="5"/>
      <c r="I423" s="5"/>
    </row>
    <row r="424" spans="7:9" ht="12.75">
      <c r="G424" s="5"/>
      <c r="H424" s="5"/>
      <c r="I424" s="5"/>
    </row>
    <row r="425" spans="7:9" ht="12.75">
      <c r="G425" s="5"/>
      <c r="H425" s="5"/>
      <c r="I425" s="5"/>
    </row>
    <row r="426" spans="7:9" ht="12.75">
      <c r="G426" s="5"/>
      <c r="H426" s="5"/>
      <c r="I426" s="5"/>
    </row>
    <row r="427" spans="7:9" ht="12.75">
      <c r="G427" s="5"/>
      <c r="H427" s="5"/>
      <c r="I427" s="5"/>
    </row>
    <row r="428" spans="7:9" ht="12.75">
      <c r="G428" s="5"/>
      <c r="H428" s="5"/>
      <c r="I428" s="5"/>
    </row>
    <row r="429" spans="7:9" ht="12.75">
      <c r="G429" s="5"/>
      <c r="H429" s="5"/>
      <c r="I429" s="5"/>
    </row>
    <row r="430" spans="7:9" ht="12.75">
      <c r="G430" s="5"/>
      <c r="H430" s="5"/>
      <c r="I430" s="5"/>
    </row>
    <row r="431" spans="7:9" ht="12.75">
      <c r="G431" s="5"/>
      <c r="H431" s="5"/>
      <c r="I431" s="5"/>
    </row>
    <row r="432" spans="7:9" ht="12.75">
      <c r="G432" s="5"/>
      <c r="H432" s="5"/>
      <c r="I432" s="5"/>
    </row>
    <row r="433" spans="7:9" ht="12.75">
      <c r="G433" s="5"/>
      <c r="H433" s="5"/>
      <c r="I433" s="5"/>
    </row>
    <row r="434" spans="7:9" ht="12.75">
      <c r="G434" s="5"/>
      <c r="H434" s="5"/>
      <c r="I434" s="5"/>
    </row>
    <row r="435" spans="7:9" ht="12.75">
      <c r="G435" s="5"/>
      <c r="H435" s="5"/>
      <c r="I435" s="5"/>
    </row>
    <row r="436" spans="7:9" ht="12.75">
      <c r="G436" s="5"/>
      <c r="H436" s="5"/>
      <c r="I436" s="5"/>
    </row>
    <row r="437" spans="7:9" ht="12.75">
      <c r="G437" s="5"/>
      <c r="H437" s="5"/>
      <c r="I437" s="5"/>
    </row>
    <row r="438" spans="7:9" ht="12.75">
      <c r="G438" s="5"/>
      <c r="H438" s="5"/>
      <c r="I438" s="5"/>
    </row>
    <row r="439" spans="7:9" ht="12.75">
      <c r="G439" s="5"/>
      <c r="H439" s="5"/>
      <c r="I439" s="5"/>
    </row>
    <row r="440" spans="7:9" ht="12.75">
      <c r="G440" s="5"/>
      <c r="H440" s="5"/>
      <c r="I440" s="5"/>
    </row>
    <row r="441" spans="7:9" ht="12.75">
      <c r="G441" s="5"/>
      <c r="H441" s="5"/>
      <c r="I441" s="5"/>
    </row>
    <row r="442" spans="7:9" ht="12.75">
      <c r="G442" s="5"/>
      <c r="H442" s="5"/>
      <c r="I442" s="5"/>
    </row>
    <row r="443" spans="7:9" ht="12.75">
      <c r="G443" s="5"/>
      <c r="H443" s="5"/>
      <c r="I443" s="5"/>
    </row>
    <row r="444" spans="7:9" ht="12.75">
      <c r="G444" s="5"/>
      <c r="H444" s="5"/>
      <c r="I444" s="5"/>
    </row>
    <row r="445" spans="7:9" ht="12.75">
      <c r="G445" s="5"/>
      <c r="H445" s="5"/>
      <c r="I445" s="5"/>
    </row>
    <row r="446" spans="7:9" ht="12.75">
      <c r="G446" s="5"/>
      <c r="H446" s="5"/>
      <c r="I446" s="5"/>
    </row>
    <row r="447" spans="7:9" ht="12.75">
      <c r="G447" s="5"/>
      <c r="H447" s="5"/>
      <c r="I447" s="5"/>
    </row>
    <row r="448" spans="7:9" ht="12.75">
      <c r="G448" s="5"/>
      <c r="H448" s="5"/>
      <c r="I448" s="5"/>
    </row>
    <row r="449" spans="7:9" ht="12.75">
      <c r="G449" s="5"/>
      <c r="H449" s="5"/>
      <c r="I449" s="5"/>
    </row>
    <row r="450" spans="7:9" ht="12.75">
      <c r="G450" s="5"/>
      <c r="H450" s="5"/>
      <c r="I450" s="5"/>
    </row>
    <row r="451" spans="7:9" ht="12.75">
      <c r="G451" s="5"/>
      <c r="H451" s="5"/>
      <c r="I451" s="5"/>
    </row>
    <row r="452" spans="7:9" ht="12.75">
      <c r="G452" s="5"/>
      <c r="H452" s="5"/>
      <c r="I452" s="5"/>
    </row>
    <row r="453" spans="7:9" ht="12.75">
      <c r="G453" s="5"/>
      <c r="H453" s="5"/>
      <c r="I453" s="5"/>
    </row>
    <row r="454" spans="7:9" ht="12.75">
      <c r="G454" s="5"/>
      <c r="H454" s="5"/>
      <c r="I454" s="5"/>
    </row>
    <row r="455" spans="7:9" ht="12.75">
      <c r="G455" s="5"/>
      <c r="H455" s="5"/>
      <c r="I455" s="5"/>
    </row>
    <row r="456" spans="7:9" ht="12.75">
      <c r="G456" s="5"/>
      <c r="H456" s="5"/>
      <c r="I456" s="5"/>
    </row>
    <row r="457" spans="7:9" ht="12.75">
      <c r="G457" s="5"/>
      <c r="H457" s="5"/>
      <c r="I457" s="5"/>
    </row>
    <row r="458" spans="7:9" ht="12.75">
      <c r="G458" s="5"/>
      <c r="H458" s="5"/>
      <c r="I458" s="5"/>
    </row>
    <row r="459" spans="7:9" ht="12.75">
      <c r="G459" s="5"/>
      <c r="H459" s="5"/>
      <c r="I459" s="5"/>
    </row>
    <row r="460" spans="7:9" ht="12.75">
      <c r="G460" s="5"/>
      <c r="H460" s="5"/>
      <c r="I460" s="5"/>
    </row>
    <row r="461" spans="7:9" ht="12.75">
      <c r="G461" s="5"/>
      <c r="H461" s="5"/>
      <c r="I461" s="5"/>
    </row>
    <row r="462" spans="7:9" ht="12.75">
      <c r="G462" s="5"/>
      <c r="H462" s="5"/>
      <c r="I462" s="5"/>
    </row>
    <row r="463" spans="7:9" ht="12.75">
      <c r="G463" s="5"/>
      <c r="H463" s="5"/>
      <c r="I463" s="5"/>
    </row>
    <row r="464" spans="7:9" ht="12.75">
      <c r="G464" s="5"/>
      <c r="H464" s="5"/>
      <c r="I464" s="5"/>
    </row>
    <row r="465" spans="7:9" ht="12.75">
      <c r="G465" s="5"/>
      <c r="H465" s="5"/>
      <c r="I465" s="5"/>
    </row>
    <row r="466" spans="7:9" ht="12.75">
      <c r="G466" s="5"/>
      <c r="H466" s="5"/>
      <c r="I466" s="5"/>
    </row>
    <row r="467" spans="7:9" ht="12.75">
      <c r="G467" s="5"/>
      <c r="H467" s="5"/>
      <c r="I467" s="5"/>
    </row>
    <row r="468" spans="7:9" ht="12.75">
      <c r="G468" s="5"/>
      <c r="H468" s="5"/>
      <c r="I468" s="5"/>
    </row>
    <row r="469" spans="7:9" ht="12.75">
      <c r="G469" s="5"/>
      <c r="H469" s="5"/>
      <c r="I469" s="5"/>
    </row>
    <row r="470" spans="7:9" ht="12.75">
      <c r="G470" s="5"/>
      <c r="H470" s="5"/>
      <c r="I470" s="5"/>
    </row>
    <row r="471" spans="7:9" ht="12.75">
      <c r="G471" s="5"/>
      <c r="H471" s="5"/>
      <c r="I471" s="5"/>
    </row>
    <row r="472" spans="7:9" ht="12.75">
      <c r="G472" s="5"/>
      <c r="H472" s="5"/>
      <c r="I472" s="5"/>
    </row>
    <row r="473" spans="7:9" ht="12.75">
      <c r="G473" s="5"/>
      <c r="H473" s="5"/>
      <c r="I473" s="5"/>
    </row>
    <row r="474" spans="7:9" ht="12.75">
      <c r="G474" s="5"/>
      <c r="H474" s="5"/>
      <c r="I474" s="5"/>
    </row>
    <row r="475" spans="7:9" ht="12.75">
      <c r="G475" s="5"/>
      <c r="H475" s="5"/>
      <c r="I475" s="5"/>
    </row>
    <row r="476" spans="7:9" ht="12.75">
      <c r="G476" s="5"/>
      <c r="H476" s="5"/>
      <c r="I476" s="5"/>
    </row>
    <row r="477" spans="7:9" ht="12.75">
      <c r="G477" s="5"/>
      <c r="H477" s="5"/>
      <c r="I477" s="5"/>
    </row>
    <row r="478" spans="7:9" ht="12.75">
      <c r="G478" s="5"/>
      <c r="H478" s="5"/>
      <c r="I478" s="5"/>
    </row>
    <row r="479" spans="7:9" ht="12.75">
      <c r="G479" s="5"/>
      <c r="H479" s="5"/>
      <c r="I479" s="5"/>
    </row>
    <row r="480" spans="7:9" ht="12.75">
      <c r="G480" s="5"/>
      <c r="H480" s="5"/>
      <c r="I480" s="5"/>
    </row>
    <row r="481" spans="7:9" ht="12.75">
      <c r="G481" s="5"/>
      <c r="H481" s="5"/>
      <c r="I481" s="5"/>
    </row>
    <row r="482" spans="7:9" ht="12.75">
      <c r="G482" s="5"/>
      <c r="H482" s="5"/>
      <c r="I482" s="5"/>
    </row>
    <row r="483" spans="7:9" ht="12.75">
      <c r="G483" s="5"/>
      <c r="H483" s="5"/>
      <c r="I483" s="5"/>
    </row>
    <row r="484" spans="7:9" ht="12.75">
      <c r="G484" s="5"/>
      <c r="H484" s="5"/>
      <c r="I484" s="5"/>
    </row>
    <row r="485" spans="7:9" ht="12.75">
      <c r="G485" s="5"/>
      <c r="H485" s="5"/>
      <c r="I485" s="5"/>
    </row>
    <row r="486" spans="7:9" ht="12.75">
      <c r="G486" s="5"/>
      <c r="H486" s="5"/>
      <c r="I486" s="5"/>
    </row>
    <row r="487" spans="7:9" ht="12.75">
      <c r="G487" s="5"/>
      <c r="H487" s="5"/>
      <c r="I487" s="5"/>
    </row>
    <row r="488" spans="7:9" ht="12.75">
      <c r="G488" s="5"/>
      <c r="H488" s="5"/>
      <c r="I488" s="5"/>
    </row>
    <row r="489" spans="7:9" ht="12.75">
      <c r="G489" s="5"/>
      <c r="H489" s="5"/>
      <c r="I489" s="5"/>
    </row>
    <row r="490" spans="7:9" ht="12.75">
      <c r="G490" s="5"/>
      <c r="H490" s="5"/>
      <c r="I490" s="5"/>
    </row>
    <row r="491" spans="7:9" ht="12.75">
      <c r="G491" s="5"/>
      <c r="H491" s="5"/>
      <c r="I491" s="5"/>
    </row>
    <row r="492" spans="7:9" ht="12.75">
      <c r="G492" s="5"/>
      <c r="H492" s="5"/>
      <c r="I492" s="5"/>
    </row>
    <row r="493" spans="7:9" ht="12.75">
      <c r="G493" s="5"/>
      <c r="H493" s="5"/>
      <c r="I493" s="5"/>
    </row>
    <row r="494" spans="7:9" ht="12.75">
      <c r="G494" s="5"/>
      <c r="H494" s="5"/>
      <c r="I494" s="5"/>
    </row>
    <row r="495" spans="7:9" ht="12.75">
      <c r="G495" s="5"/>
      <c r="H495" s="5"/>
      <c r="I495" s="5"/>
    </row>
    <row r="496" spans="7:9" ht="12.75">
      <c r="G496" s="5"/>
      <c r="H496" s="5"/>
      <c r="I496" s="5"/>
    </row>
    <row r="497" spans="7:9" ht="12.75">
      <c r="G497" s="5"/>
      <c r="H497" s="5"/>
      <c r="I497" s="5"/>
    </row>
    <row r="498" spans="7:9" ht="12.75">
      <c r="G498" s="5"/>
      <c r="H498" s="5"/>
      <c r="I498" s="5"/>
    </row>
    <row r="499" spans="7:9" ht="12.75">
      <c r="G499" s="5"/>
      <c r="H499" s="5"/>
      <c r="I499" s="5"/>
    </row>
    <row r="500" spans="7:9" ht="12.75">
      <c r="G500" s="5"/>
      <c r="H500" s="5"/>
      <c r="I500" s="5"/>
    </row>
    <row r="501" spans="7:9" ht="12.75">
      <c r="G501" s="5"/>
      <c r="H501" s="5"/>
      <c r="I501" s="5"/>
    </row>
    <row r="502" spans="7:9" ht="12.75">
      <c r="G502" s="5"/>
      <c r="H502" s="5"/>
      <c r="I502" s="5"/>
    </row>
    <row r="503" spans="7:9" ht="12.75">
      <c r="G503" s="5"/>
      <c r="H503" s="5"/>
      <c r="I503" s="5"/>
    </row>
    <row r="504" spans="7:9" ht="12.75">
      <c r="G504" s="5"/>
      <c r="H504" s="5"/>
      <c r="I504" s="5"/>
    </row>
    <row r="505" spans="7:9" ht="12.75">
      <c r="G505" s="5"/>
      <c r="H505" s="5"/>
      <c r="I505" s="5"/>
    </row>
    <row r="506" spans="7:9" ht="12.75">
      <c r="G506" s="5"/>
      <c r="H506" s="5"/>
      <c r="I506" s="5"/>
    </row>
    <row r="507" spans="7:9" ht="12.75">
      <c r="G507" s="5"/>
      <c r="H507" s="5"/>
      <c r="I507" s="5"/>
    </row>
    <row r="508" spans="7:9" ht="12.75">
      <c r="G508" s="5"/>
      <c r="H508" s="5"/>
      <c r="I508" s="5"/>
    </row>
    <row r="509" spans="7:9" ht="12.75">
      <c r="G509" s="5"/>
      <c r="H509" s="5"/>
      <c r="I509" s="5"/>
    </row>
    <row r="510" spans="7:9" ht="12.75">
      <c r="G510" s="5"/>
      <c r="H510" s="5"/>
      <c r="I510" s="5"/>
    </row>
    <row r="511" spans="7:9" ht="12.75">
      <c r="G511" s="5"/>
      <c r="H511" s="5"/>
      <c r="I511" s="5"/>
    </row>
    <row r="512" spans="7:9" ht="12.75">
      <c r="G512" s="5"/>
      <c r="H512" s="5"/>
      <c r="I512" s="5"/>
    </row>
    <row r="513" spans="7:9" ht="12.75">
      <c r="G513" s="5"/>
      <c r="H513" s="5"/>
      <c r="I513" s="5"/>
    </row>
    <row r="514" spans="7:9" ht="12.75">
      <c r="G514" s="5"/>
      <c r="H514" s="5"/>
      <c r="I514" s="5"/>
    </row>
    <row r="515" spans="7:9" ht="12.75">
      <c r="G515" s="5"/>
      <c r="H515" s="5"/>
      <c r="I515" s="5"/>
    </row>
    <row r="516" spans="7:9" ht="12.75">
      <c r="G516" s="5"/>
      <c r="H516" s="5"/>
      <c r="I516" s="5"/>
    </row>
    <row r="517" spans="7:9" ht="12.75">
      <c r="G517" s="5"/>
      <c r="H517" s="5"/>
      <c r="I517" s="5"/>
    </row>
    <row r="518" spans="7:9" ht="12.75">
      <c r="G518" s="5"/>
      <c r="H518" s="5"/>
      <c r="I518" s="5"/>
    </row>
    <row r="519" spans="7:9" ht="12.75">
      <c r="G519" s="5"/>
      <c r="H519" s="5"/>
      <c r="I519" s="5"/>
    </row>
    <row r="520" spans="7:9" ht="12.75">
      <c r="G520" s="5"/>
      <c r="H520" s="5"/>
      <c r="I520" s="5"/>
    </row>
    <row r="521" spans="7:9" ht="12.75">
      <c r="G521" s="5"/>
      <c r="H521" s="5"/>
      <c r="I521" s="5"/>
    </row>
    <row r="522" spans="7:9" ht="12.75">
      <c r="G522" s="5"/>
      <c r="H522" s="5"/>
      <c r="I522" s="5"/>
    </row>
    <row r="523" spans="7:9" ht="12.75">
      <c r="G523" s="5"/>
      <c r="H523" s="5"/>
      <c r="I523" s="5"/>
    </row>
    <row r="524" spans="7:9" ht="12.75">
      <c r="G524" s="5"/>
      <c r="H524" s="5"/>
      <c r="I524" s="5"/>
    </row>
    <row r="525" spans="7:9" ht="12.75">
      <c r="G525" s="5"/>
      <c r="H525" s="5"/>
      <c r="I525" s="5"/>
    </row>
    <row r="526" spans="7:9" ht="12.75">
      <c r="G526" s="5"/>
      <c r="H526" s="5"/>
      <c r="I526" s="5"/>
    </row>
    <row r="527" spans="7:9" ht="12.75">
      <c r="G527" s="5"/>
      <c r="H527" s="5"/>
      <c r="I527" s="5"/>
    </row>
    <row r="528" spans="7:9" ht="12.75">
      <c r="G528" s="5"/>
      <c r="H528" s="5"/>
      <c r="I528" s="5"/>
    </row>
    <row r="529" spans="7:9" ht="12.75">
      <c r="G529" s="5"/>
      <c r="H529" s="5"/>
      <c r="I529" s="5"/>
    </row>
    <row r="530" spans="7:9" ht="12.75">
      <c r="G530" s="5"/>
      <c r="H530" s="5"/>
      <c r="I530" s="5"/>
    </row>
    <row r="531" spans="7:9" ht="12.75">
      <c r="G531" s="5"/>
      <c r="H531" s="5"/>
      <c r="I531" s="5"/>
    </row>
    <row r="532" spans="7:9" ht="12.75">
      <c r="G532" s="5"/>
      <c r="H532" s="5"/>
      <c r="I532" s="5"/>
    </row>
    <row r="533" spans="7:9" ht="12.75">
      <c r="G533" s="5"/>
      <c r="H533" s="5"/>
      <c r="I533" s="5"/>
    </row>
    <row r="534" spans="7:9" ht="12.75">
      <c r="G534" s="5"/>
      <c r="H534" s="5"/>
      <c r="I534" s="5"/>
    </row>
    <row r="535" spans="7:9" ht="12.75">
      <c r="G535" s="5"/>
      <c r="H535" s="5"/>
      <c r="I535" s="5"/>
    </row>
    <row r="536" spans="7:9" ht="12.75">
      <c r="G536" s="5"/>
      <c r="H536" s="5"/>
      <c r="I536" s="5"/>
    </row>
    <row r="537" spans="7:9" ht="12.75">
      <c r="G537" s="5"/>
      <c r="H537" s="5"/>
      <c r="I537" s="5"/>
    </row>
    <row r="538" spans="7:9" ht="12.75">
      <c r="G538" s="5"/>
      <c r="H538" s="5"/>
      <c r="I538" s="5"/>
    </row>
    <row r="539" spans="7:9" ht="12.75">
      <c r="G539" s="5"/>
      <c r="H539" s="5"/>
      <c r="I539" s="5"/>
    </row>
    <row r="540" spans="7:9" ht="12.75">
      <c r="G540" s="5"/>
      <c r="H540" s="5"/>
      <c r="I540" s="5"/>
    </row>
    <row r="541" spans="7:9" ht="12.75">
      <c r="G541" s="5"/>
      <c r="H541" s="5"/>
      <c r="I541" s="5"/>
    </row>
    <row r="542" spans="7:9" ht="12.75">
      <c r="G542" s="5"/>
      <c r="H542" s="5"/>
      <c r="I542" s="5"/>
    </row>
    <row r="543" spans="7:9" ht="12.75">
      <c r="G543" s="5"/>
      <c r="H543" s="5"/>
      <c r="I543" s="5"/>
    </row>
    <row r="544" spans="7:9" ht="12.75">
      <c r="G544" s="5"/>
      <c r="H544" s="5"/>
      <c r="I544" s="5"/>
    </row>
    <row r="545" spans="7:9" ht="12.75">
      <c r="G545" s="5"/>
      <c r="H545" s="5"/>
      <c r="I545" s="5"/>
    </row>
    <row r="546" spans="7:9" ht="12.75">
      <c r="G546" s="5"/>
      <c r="H546" s="5"/>
      <c r="I546" s="5"/>
    </row>
    <row r="547" spans="7:9" ht="12.75">
      <c r="G547" s="5"/>
      <c r="H547" s="5"/>
      <c r="I547" s="5"/>
    </row>
    <row r="548" spans="7:9" ht="12.75">
      <c r="G548" s="5"/>
      <c r="H548" s="5"/>
      <c r="I548" s="5"/>
    </row>
    <row r="549" spans="7:9" ht="12.75">
      <c r="G549" s="5"/>
      <c r="H549" s="5"/>
      <c r="I549" s="5"/>
    </row>
    <row r="550" spans="7:9" ht="12.75">
      <c r="G550" s="5"/>
      <c r="H550" s="5"/>
      <c r="I550" s="5"/>
    </row>
    <row r="551" spans="7:9" ht="12.75">
      <c r="G551" s="5"/>
      <c r="H551" s="5"/>
      <c r="I551" s="5"/>
    </row>
    <row r="552" spans="7:9" ht="12.75">
      <c r="G552" s="5"/>
      <c r="H552" s="5"/>
      <c r="I552" s="5"/>
    </row>
    <row r="553" spans="7:9" ht="12.75">
      <c r="G553" s="5"/>
      <c r="H553" s="5"/>
      <c r="I553" s="5"/>
    </row>
    <row r="554" spans="7:9" ht="12.75">
      <c r="G554" s="5"/>
      <c r="H554" s="5"/>
      <c r="I554" s="5"/>
    </row>
    <row r="555" spans="7:9" ht="12.75">
      <c r="G555" s="5"/>
      <c r="H555" s="5"/>
      <c r="I555" s="5"/>
    </row>
    <row r="556" spans="7:9" ht="12.75">
      <c r="G556" s="5"/>
      <c r="H556" s="5"/>
      <c r="I556" s="5"/>
    </row>
    <row r="557" spans="7:9" ht="12.75">
      <c r="G557" s="5"/>
      <c r="H557" s="5"/>
      <c r="I557" s="5"/>
    </row>
    <row r="558" spans="7:9" ht="12.75">
      <c r="G558" s="5"/>
      <c r="H558" s="5"/>
      <c r="I558" s="5"/>
    </row>
    <row r="559" spans="7:9" ht="12.75">
      <c r="G559" s="5"/>
      <c r="H559" s="5"/>
      <c r="I559" s="5"/>
    </row>
    <row r="560" spans="7:9" ht="12.75">
      <c r="G560" s="5"/>
      <c r="H560" s="5"/>
      <c r="I560" s="5"/>
    </row>
    <row r="561" spans="7:9" ht="12.75">
      <c r="G561" s="5"/>
      <c r="H561" s="5"/>
      <c r="I561" s="5"/>
    </row>
    <row r="562" spans="7:9" ht="12.75">
      <c r="G562" s="5"/>
      <c r="H562" s="5"/>
      <c r="I562" s="5"/>
    </row>
    <row r="563" spans="7:9" ht="12.75">
      <c r="G563" s="5"/>
      <c r="H563" s="5"/>
      <c r="I563" s="5"/>
    </row>
    <row r="564" spans="7:9" ht="12.75">
      <c r="G564" s="5"/>
      <c r="H564" s="5"/>
      <c r="I564" s="5"/>
    </row>
    <row r="565" spans="7:9" ht="12.75">
      <c r="G565" s="5"/>
      <c r="H565" s="5"/>
      <c r="I565" s="5"/>
    </row>
    <row r="566" spans="7:9" ht="12.75">
      <c r="G566" s="5"/>
      <c r="H566" s="5"/>
      <c r="I566" s="5"/>
    </row>
    <row r="567" spans="7:9" ht="12.75">
      <c r="G567" s="5"/>
      <c r="H567" s="5"/>
      <c r="I567" s="5"/>
    </row>
    <row r="568" spans="7:9" ht="12.75">
      <c r="G568" s="5"/>
      <c r="H568" s="5"/>
      <c r="I568" s="5"/>
    </row>
    <row r="569" spans="7:9" ht="12.75">
      <c r="G569" s="5"/>
      <c r="H569" s="5"/>
      <c r="I569" s="5"/>
    </row>
    <row r="570" spans="7:9" ht="12.75">
      <c r="G570" s="5"/>
      <c r="H570" s="5"/>
      <c r="I570" s="5"/>
    </row>
    <row r="571" spans="7:9" ht="12.75">
      <c r="G571" s="5"/>
      <c r="H571" s="5"/>
      <c r="I571" s="5"/>
    </row>
    <row r="572" spans="7:9" ht="12.75">
      <c r="G572" s="5"/>
      <c r="H572" s="5"/>
      <c r="I572" s="5"/>
    </row>
    <row r="573" spans="7:9" ht="12.75">
      <c r="G573" s="5"/>
      <c r="H573" s="5"/>
      <c r="I573" s="5"/>
    </row>
    <row r="574" spans="7:9" ht="12.75">
      <c r="G574" s="5"/>
      <c r="H574" s="5"/>
      <c r="I574" s="5"/>
    </row>
    <row r="575" spans="7:9" ht="12.75">
      <c r="G575" s="5"/>
      <c r="H575" s="5"/>
      <c r="I575" s="5"/>
    </row>
    <row r="576" spans="7:9" ht="12.75">
      <c r="G576" s="5"/>
      <c r="H576" s="5"/>
      <c r="I576" s="5"/>
    </row>
    <row r="577" spans="7:9" ht="12.75">
      <c r="G577" s="5"/>
      <c r="H577" s="5"/>
      <c r="I577" s="5"/>
    </row>
    <row r="578" spans="7:9" ht="12.75">
      <c r="G578" s="5"/>
      <c r="H578" s="5"/>
      <c r="I578" s="5"/>
    </row>
    <row r="579" spans="7:9" ht="12.75">
      <c r="G579" s="5"/>
      <c r="H579" s="5"/>
      <c r="I579" s="5"/>
    </row>
    <row r="580" spans="7:9" ht="12.75">
      <c r="G580" s="5"/>
      <c r="H580" s="5"/>
      <c r="I580" s="5"/>
    </row>
    <row r="581" spans="7:9" ht="12.75">
      <c r="G581" s="5"/>
      <c r="H581" s="5"/>
      <c r="I581" s="5"/>
    </row>
    <row r="582" spans="7:9" ht="12.75">
      <c r="G582" s="5"/>
      <c r="H582" s="5"/>
      <c r="I582" s="5"/>
    </row>
    <row r="583" spans="7:9" ht="12.75">
      <c r="G583" s="5"/>
      <c r="H583" s="5"/>
      <c r="I583" s="5"/>
    </row>
    <row r="584" spans="7:9" ht="12.75">
      <c r="G584" s="5"/>
      <c r="H584" s="5"/>
      <c r="I584" s="5"/>
    </row>
    <row r="585" spans="7:9" ht="12.75">
      <c r="G585" s="5"/>
      <c r="H585" s="5"/>
      <c r="I585" s="5"/>
    </row>
    <row r="586" spans="7:9" ht="12.75">
      <c r="G586" s="5"/>
      <c r="H586" s="5"/>
      <c r="I586" s="5"/>
    </row>
    <row r="587" spans="7:9" ht="12.75">
      <c r="G587" s="5"/>
      <c r="H587" s="5"/>
      <c r="I587" s="5"/>
    </row>
    <row r="588" spans="7:9" ht="12.75">
      <c r="G588" s="5"/>
      <c r="H588" s="5"/>
      <c r="I588" s="5"/>
    </row>
    <row r="589" spans="7:9" ht="12.75">
      <c r="G589" s="5"/>
      <c r="H589" s="5"/>
      <c r="I589" s="5"/>
    </row>
    <row r="590" spans="7:9" ht="12.75">
      <c r="G590" s="5"/>
      <c r="H590" s="5"/>
      <c r="I590" s="5"/>
    </row>
    <row r="591" spans="7:9" ht="12.75">
      <c r="G591" s="5"/>
      <c r="H591" s="5"/>
      <c r="I591" s="5"/>
    </row>
    <row r="592" spans="7:9" ht="12.75">
      <c r="G592" s="5"/>
      <c r="H592" s="5"/>
      <c r="I592" s="5"/>
    </row>
    <row r="593" spans="7:9" ht="12.75">
      <c r="G593" s="5"/>
      <c r="H593" s="5"/>
      <c r="I593" s="5"/>
    </row>
    <row r="594" spans="7:9" ht="12.75">
      <c r="G594" s="5"/>
      <c r="H594" s="5"/>
      <c r="I594" s="5"/>
    </row>
    <row r="595" spans="7:9" ht="12.75">
      <c r="G595" s="5"/>
      <c r="H595" s="5"/>
      <c r="I595" s="5"/>
    </row>
    <row r="596" spans="7:9" ht="12.75">
      <c r="G596" s="5"/>
      <c r="H596" s="5"/>
      <c r="I596" s="5"/>
    </row>
    <row r="597" spans="7:9" ht="12.75">
      <c r="G597" s="5"/>
      <c r="H597" s="5"/>
      <c r="I597" s="5"/>
    </row>
    <row r="598" spans="7:9" ht="12.75">
      <c r="G598" s="5"/>
      <c r="H598" s="5"/>
      <c r="I598" s="5"/>
    </row>
    <row r="599" spans="7:9" ht="12.75">
      <c r="G599" s="5"/>
      <c r="H599" s="5"/>
      <c r="I599" s="5"/>
    </row>
    <row r="600" spans="7:9" ht="12.75">
      <c r="G600" s="5"/>
      <c r="H600" s="5"/>
      <c r="I600" s="5"/>
    </row>
    <row r="601" spans="7:9" ht="12.75">
      <c r="G601" s="5"/>
      <c r="H601" s="5"/>
      <c r="I601" s="5"/>
    </row>
    <row r="602" spans="7:9" ht="12.75">
      <c r="G602" s="5"/>
      <c r="H602" s="5"/>
      <c r="I602" s="5"/>
    </row>
    <row r="603" spans="7:9" ht="12.75">
      <c r="G603" s="5"/>
      <c r="H603" s="5"/>
      <c r="I603" s="5"/>
    </row>
    <row r="604" spans="7:9" ht="12.75">
      <c r="G604" s="5"/>
      <c r="H604" s="5"/>
      <c r="I604" s="5"/>
    </row>
    <row r="605" spans="7:9" ht="12.75">
      <c r="G605" s="5"/>
      <c r="H605" s="5"/>
      <c r="I605" s="5"/>
    </row>
    <row r="606" spans="7:9" ht="12.75">
      <c r="G606" s="5"/>
      <c r="H606" s="5"/>
      <c r="I606" s="5"/>
    </row>
    <row r="607" spans="7:9" ht="12.75">
      <c r="G607" s="5"/>
      <c r="H607" s="5"/>
      <c r="I607" s="5"/>
    </row>
    <row r="608" spans="7:9" ht="12.75">
      <c r="G608" s="5"/>
      <c r="H608" s="5"/>
      <c r="I608" s="5"/>
    </row>
    <row r="609" spans="7:9" ht="12.75">
      <c r="G609" s="5"/>
      <c r="H609" s="5"/>
      <c r="I609" s="5"/>
    </row>
    <row r="610" spans="7:9" ht="12.75">
      <c r="G610" s="5"/>
      <c r="H610" s="5"/>
      <c r="I610" s="5"/>
    </row>
    <row r="611" spans="7:9" ht="12.75">
      <c r="G611" s="5"/>
      <c r="H611" s="5"/>
      <c r="I611" s="5"/>
    </row>
    <row r="612" spans="7:9" ht="12.75">
      <c r="G612" s="5"/>
      <c r="H612" s="5"/>
      <c r="I612" s="5"/>
    </row>
    <row r="613" spans="7:9" ht="12.75">
      <c r="G613" s="5"/>
      <c r="H613" s="5"/>
      <c r="I613" s="5"/>
    </row>
    <row r="614" spans="7:9" ht="12.75">
      <c r="G614" s="5"/>
      <c r="H614" s="5"/>
      <c r="I614" s="5"/>
    </row>
    <row r="615" spans="7:9" ht="12.75">
      <c r="G615" s="5"/>
      <c r="H615" s="5"/>
      <c r="I615" s="5"/>
    </row>
    <row r="616" spans="7:9" ht="12.75">
      <c r="G616" s="5"/>
      <c r="H616" s="5"/>
      <c r="I616" s="5"/>
    </row>
    <row r="617" spans="7:9" ht="12.75">
      <c r="G617" s="5"/>
      <c r="H617" s="5"/>
      <c r="I617" s="5"/>
    </row>
    <row r="618" spans="7:9" ht="12.75">
      <c r="G618" s="5"/>
      <c r="H618" s="5"/>
      <c r="I618" s="5"/>
    </row>
    <row r="619" spans="7:9" ht="12.75">
      <c r="G619" s="5"/>
      <c r="H619" s="5"/>
      <c r="I619" s="5"/>
    </row>
    <row r="620" spans="7:9" ht="12.75">
      <c r="G620" s="5"/>
      <c r="H620" s="5"/>
      <c r="I620" s="5"/>
    </row>
    <row r="621" spans="7:9" ht="12.75">
      <c r="G621" s="5"/>
      <c r="H621" s="5"/>
      <c r="I621" s="5"/>
    </row>
    <row r="622" spans="7:9" ht="12.75">
      <c r="G622" s="5"/>
      <c r="H622" s="5"/>
      <c r="I622" s="5"/>
    </row>
    <row r="623" spans="7:9" ht="12.75">
      <c r="G623" s="5"/>
      <c r="H623" s="5"/>
      <c r="I623" s="5"/>
    </row>
    <row r="624" spans="7:9" ht="12.75">
      <c r="G624" s="5"/>
      <c r="H624" s="5"/>
      <c r="I624" s="5"/>
    </row>
    <row r="625" spans="7:9" ht="12.75">
      <c r="G625" s="5"/>
      <c r="H625" s="5"/>
      <c r="I625" s="5"/>
    </row>
    <row r="626" spans="7:9" ht="12.75">
      <c r="G626" s="5"/>
      <c r="H626" s="5"/>
      <c r="I626" s="5"/>
    </row>
    <row r="627" spans="7:9" ht="12.75">
      <c r="G627" s="5"/>
      <c r="H627" s="5"/>
      <c r="I627" s="5"/>
    </row>
    <row r="628" spans="7:9" ht="12.75">
      <c r="G628" s="5"/>
      <c r="H628" s="5"/>
      <c r="I628" s="5"/>
    </row>
    <row r="629" spans="7:9" ht="12.75">
      <c r="G629" s="5"/>
      <c r="H629" s="5"/>
      <c r="I629" s="5"/>
    </row>
    <row r="630" spans="7:9" ht="12.75">
      <c r="G630" s="5"/>
      <c r="H630" s="5"/>
      <c r="I630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0"/>
  <dimension ref="A1:CE105"/>
  <sheetViews>
    <sheetView showGridLines="0" defaultGridColor="0" colorId="12" workbookViewId="0" topLeftCell="A1">
      <pane xSplit="1" ySplit="4" topLeftCell="B5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5" sqref="B5"/>
    </sheetView>
  </sheetViews>
  <sheetFormatPr defaultColWidth="9.140625" defaultRowHeight="12.75"/>
  <cols>
    <col min="1" max="1" width="23.140625" style="1" customWidth="1"/>
    <col min="2" max="10" width="12.7109375" style="43" customWidth="1"/>
    <col min="11" max="11" width="14.7109375" style="43" customWidth="1"/>
    <col min="12" max="12" width="13.57421875" style="43" customWidth="1"/>
    <col min="13" max="13" width="12.7109375" style="43" customWidth="1"/>
    <col min="14" max="14" width="13.8515625" style="43" customWidth="1"/>
    <col min="15" max="24" width="12.7109375" style="43" customWidth="1"/>
    <col min="25" max="25" width="4.421875" style="0" customWidth="1"/>
    <col min="26" max="26" width="13.8515625" style="43" customWidth="1"/>
    <col min="27" max="27" width="14.00390625" style="43" customWidth="1"/>
    <col min="28" max="35" width="12.7109375" style="43" customWidth="1"/>
    <col min="36" max="36" width="6.00390625" style="0" customWidth="1"/>
    <col min="37" max="40" width="12.7109375" style="43" customWidth="1"/>
    <col min="41" max="43" width="9.140625" style="5" customWidth="1"/>
    <col min="44" max="44" width="12.7109375" style="43" customWidth="1"/>
    <col min="45" max="48" width="12.7109375" style="5" customWidth="1"/>
    <col min="49" max="51" width="12.7109375" style="2" customWidth="1"/>
    <col min="52" max="82" width="12.7109375" style="0" customWidth="1"/>
  </cols>
  <sheetData>
    <row r="1" spans="1:44" ht="24" thickBot="1">
      <c r="A1" s="141" t="s">
        <v>12</v>
      </c>
      <c r="B1" s="78" t="str">
        <f>CONCATENATE("Desmoothing Inputs: defaults for Period ",label)</f>
        <v>Desmoothing Inputs: defaults for Period 1981-2005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34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34"/>
      <c r="AK1" s="89"/>
      <c r="AL1" s="89"/>
      <c r="AM1" s="89"/>
      <c r="AN1" s="89"/>
      <c r="AR1"/>
    </row>
    <row r="2" ht="12.75">
      <c r="AR2"/>
    </row>
    <row r="3" spans="1:48" s="32" customFormat="1" ht="13.5" thickBot="1">
      <c r="A3" s="137" t="s">
        <v>93</v>
      </c>
      <c r="B3" s="122" t="s">
        <v>118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/>
      <c r="Z3" s="122" t="s">
        <v>119</v>
      </c>
      <c r="AA3" s="134"/>
      <c r="AB3" s="134"/>
      <c r="AC3" s="134"/>
      <c r="AD3" s="134"/>
      <c r="AE3" s="134"/>
      <c r="AF3" s="134"/>
      <c r="AG3" s="134"/>
      <c r="AH3" s="134"/>
      <c r="AI3" s="134"/>
      <c r="AJ3"/>
      <c r="AK3" s="122" t="s">
        <v>120</v>
      </c>
      <c r="AL3" s="134"/>
      <c r="AM3" s="134"/>
      <c r="AN3" s="134"/>
      <c r="AO3" s="56"/>
      <c r="AP3" s="56"/>
      <c r="AQ3" s="56"/>
      <c r="AR3"/>
      <c r="AS3" s="56"/>
      <c r="AT3" s="56"/>
      <c r="AU3" s="56"/>
      <c r="AV3" s="56"/>
    </row>
    <row r="4" spans="1:82" s="61" customFormat="1" ht="51">
      <c r="A4" s="138">
        <v>1</v>
      </c>
      <c r="B4" s="42" t="s">
        <v>32</v>
      </c>
      <c r="C4" s="42" t="s">
        <v>33</v>
      </c>
      <c r="D4" s="42" t="s">
        <v>34</v>
      </c>
      <c r="E4" s="42" t="s">
        <v>35</v>
      </c>
      <c r="F4" s="42" t="s">
        <v>36</v>
      </c>
      <c r="G4" s="42" t="s">
        <v>37</v>
      </c>
      <c r="H4" s="42" t="s">
        <v>38</v>
      </c>
      <c r="I4" s="42" t="s">
        <v>39</v>
      </c>
      <c r="J4" s="86" t="s">
        <v>40</v>
      </c>
      <c r="K4" s="42" t="s">
        <v>41</v>
      </c>
      <c r="L4" s="42" t="s">
        <v>42</v>
      </c>
      <c r="M4" s="42" t="s">
        <v>43</v>
      </c>
      <c r="N4" s="42" t="s">
        <v>78</v>
      </c>
      <c r="O4" s="42" t="s">
        <v>34</v>
      </c>
      <c r="P4" s="86" t="s">
        <v>44</v>
      </c>
      <c r="Q4" s="86" t="s">
        <v>45</v>
      </c>
      <c r="R4" s="42" t="s">
        <v>36</v>
      </c>
      <c r="S4" s="42" t="s">
        <v>46</v>
      </c>
      <c r="T4" s="42" t="s">
        <v>47</v>
      </c>
      <c r="U4" s="86" t="s">
        <v>44</v>
      </c>
      <c r="V4" s="42" t="s">
        <v>45</v>
      </c>
      <c r="W4" s="42" t="s">
        <v>36</v>
      </c>
      <c r="X4" s="42" t="s">
        <v>48</v>
      </c>
      <c r="Y4"/>
      <c r="Z4" s="86" t="s">
        <v>79</v>
      </c>
      <c r="AA4" s="42" t="s">
        <v>80</v>
      </c>
      <c r="AB4" s="42" t="s">
        <v>49</v>
      </c>
      <c r="AC4" s="42" t="s">
        <v>50</v>
      </c>
      <c r="AD4" s="42" t="s">
        <v>51</v>
      </c>
      <c r="AE4" s="42" t="s">
        <v>52</v>
      </c>
      <c r="AF4" s="42" t="s">
        <v>53</v>
      </c>
      <c r="AG4" s="42" t="s">
        <v>54</v>
      </c>
      <c r="AH4" s="42" t="s">
        <v>81</v>
      </c>
      <c r="AI4" s="42" t="s">
        <v>82</v>
      </c>
      <c r="AJ4"/>
      <c r="AK4" s="133" t="s">
        <v>56</v>
      </c>
      <c r="AL4" s="133" t="s">
        <v>57</v>
      </c>
      <c r="AM4" s="133" t="s">
        <v>55</v>
      </c>
      <c r="AN4" s="133" t="s">
        <v>30</v>
      </c>
      <c r="AO4" s="135"/>
      <c r="AP4" s="135"/>
      <c r="AQ4" s="63"/>
      <c r="AR4" s="42" t="s">
        <v>32</v>
      </c>
      <c r="AS4" s="42" t="s">
        <v>33</v>
      </c>
      <c r="AT4" s="42" t="s">
        <v>34</v>
      </c>
      <c r="AU4" s="42" t="s">
        <v>35</v>
      </c>
      <c r="AV4" s="42" t="s">
        <v>36</v>
      </c>
      <c r="AW4" s="42" t="s">
        <v>37</v>
      </c>
      <c r="AX4" s="42" t="s">
        <v>38</v>
      </c>
      <c r="AY4" s="42" t="s">
        <v>39</v>
      </c>
      <c r="AZ4" s="86" t="s">
        <v>40</v>
      </c>
      <c r="BA4" s="42" t="s">
        <v>41</v>
      </c>
      <c r="BB4" s="42" t="s">
        <v>42</v>
      </c>
      <c r="BC4" s="42" t="s">
        <v>43</v>
      </c>
      <c r="BD4" s="42" t="s">
        <v>78</v>
      </c>
      <c r="BE4" s="42" t="s">
        <v>34</v>
      </c>
      <c r="BF4" s="86" t="s">
        <v>44</v>
      </c>
      <c r="BG4" s="86" t="s">
        <v>45</v>
      </c>
      <c r="BH4" s="42" t="s">
        <v>36</v>
      </c>
      <c r="BI4" s="42" t="s">
        <v>46</v>
      </c>
      <c r="BJ4" s="42" t="s">
        <v>47</v>
      </c>
      <c r="BK4" s="86" t="s">
        <v>44</v>
      </c>
      <c r="BL4" s="42" t="s">
        <v>45</v>
      </c>
      <c r="BM4" s="42" t="s">
        <v>36</v>
      </c>
      <c r="BN4" s="42" t="s">
        <v>48</v>
      </c>
      <c r="BO4"/>
      <c r="BP4" s="86" t="s">
        <v>79</v>
      </c>
      <c r="BQ4" s="42" t="s">
        <v>80</v>
      </c>
      <c r="BR4" s="42" t="s">
        <v>49</v>
      </c>
      <c r="BS4" s="42" t="s">
        <v>50</v>
      </c>
      <c r="BT4" s="42" t="s">
        <v>51</v>
      </c>
      <c r="BU4" s="42" t="s">
        <v>52</v>
      </c>
      <c r="BV4" s="42" t="s">
        <v>53</v>
      </c>
      <c r="BW4" s="42" t="s">
        <v>54</v>
      </c>
      <c r="BX4" s="42" t="s">
        <v>81</v>
      </c>
      <c r="BY4" s="42" t="s">
        <v>82</v>
      </c>
      <c r="BZ4"/>
      <c r="CA4" s="133" t="s">
        <v>56</v>
      </c>
      <c r="CB4" s="133" t="s">
        <v>57</v>
      </c>
      <c r="CC4" s="133" t="s">
        <v>55</v>
      </c>
      <c r="CD4" s="133" t="s">
        <v>30</v>
      </c>
    </row>
    <row r="5" spans="1:52" s="146" customFormat="1" ht="19.5" customHeight="1">
      <c r="A5" s="147" t="s">
        <v>16</v>
      </c>
      <c r="B5" s="142">
        <f>+B11</f>
        <v>0.38923937510646733</v>
      </c>
      <c r="C5" s="142">
        <f aca="true" t="shared" si="0" ref="C5:AN5">+C11</f>
        <v>0.5213410817002887</v>
      </c>
      <c r="D5" s="142">
        <f t="shared" si="0"/>
        <v>0.42861466605393206</v>
      </c>
      <c r="E5" s="142">
        <f t="shared" si="0"/>
        <v>0.4427846396957985</v>
      </c>
      <c r="F5" s="142">
        <f t="shared" si="0"/>
        <v>0.30533709178709156</v>
      </c>
      <c r="G5" s="142">
        <f t="shared" si="0"/>
        <v>0.3660819659050262</v>
      </c>
      <c r="H5" s="142">
        <f t="shared" si="0"/>
        <v>0.15641239234087698</v>
      </c>
      <c r="I5" s="142">
        <f t="shared" si="0"/>
        <v>0.16664800459495535</v>
      </c>
      <c r="J5" s="142">
        <f t="shared" si="0"/>
        <v>0.12199406626768737</v>
      </c>
      <c r="K5" s="142">
        <f t="shared" si="0"/>
        <v>0.28492540607199995</v>
      </c>
      <c r="L5" s="142">
        <f t="shared" si="0"/>
        <v>0.1929454473657577</v>
      </c>
      <c r="M5" s="142">
        <f t="shared" si="0"/>
        <v>0.494188474647891</v>
      </c>
      <c r="N5" s="142">
        <f t="shared" si="0"/>
        <v>0.5469320236066681</v>
      </c>
      <c r="O5" s="142">
        <f t="shared" si="0"/>
        <v>0.36919675943436436</v>
      </c>
      <c r="P5" s="142">
        <f t="shared" si="0"/>
        <v>0.29374224785356456</v>
      </c>
      <c r="Q5" s="142">
        <f t="shared" si="0"/>
        <v>0.24977721640517858</v>
      </c>
      <c r="R5" s="142">
        <f t="shared" si="0"/>
        <v>0.33146910644255884</v>
      </c>
      <c r="S5" s="142">
        <f t="shared" si="0"/>
        <v>0.3543249449671558</v>
      </c>
      <c r="T5" s="142">
        <f t="shared" si="0"/>
        <v>0.3713262123602428</v>
      </c>
      <c r="U5" s="142">
        <f t="shared" si="0"/>
        <v>0.25700445697307894</v>
      </c>
      <c r="V5" s="142">
        <f t="shared" si="0"/>
        <v>0.41853835856808586</v>
      </c>
      <c r="W5" s="142">
        <f t="shared" si="0"/>
        <v>0.41704756141092425</v>
      </c>
      <c r="X5" s="142">
        <f t="shared" si="0"/>
        <v>0.24610745120507704</v>
      </c>
      <c r="Y5" s="143"/>
      <c r="Z5" s="142">
        <f t="shared" si="0"/>
        <v>0.4318637270890413</v>
      </c>
      <c r="AA5" s="142">
        <f t="shared" si="0"/>
        <v>0.2875877592135416</v>
      </c>
      <c r="AB5" s="142">
        <f t="shared" si="0"/>
        <v>0.3660819659050262</v>
      </c>
      <c r="AC5" s="142">
        <f t="shared" si="0"/>
        <v>0.15641239234087698</v>
      </c>
      <c r="AD5" s="142">
        <f t="shared" si="0"/>
        <v>0.5417438463953508</v>
      </c>
      <c r="AE5" s="142">
        <f t="shared" si="0"/>
        <v>0.5446684578098064</v>
      </c>
      <c r="AF5" s="142">
        <f t="shared" si="0"/>
        <v>0.32287346801849026</v>
      </c>
      <c r="AG5" s="142">
        <f t="shared" si="0"/>
        <v>0.319503422458952</v>
      </c>
      <c r="AH5" s="142">
        <f t="shared" si="0"/>
        <v>0.34262117242516416</v>
      </c>
      <c r="AI5" s="142">
        <f t="shared" si="0"/>
        <v>0.39901936622734185</v>
      </c>
      <c r="AJ5" s="143"/>
      <c r="AK5" s="142">
        <f t="shared" si="0"/>
        <v>0.33268061374019253</v>
      </c>
      <c r="AL5" s="142">
        <f t="shared" si="0"/>
        <v>0.49212700356264294</v>
      </c>
      <c r="AM5" s="142">
        <f t="shared" si="0"/>
        <v>0.3419796200965695</v>
      </c>
      <c r="AN5" s="142">
        <f t="shared" si="0"/>
        <v>0.42126198673391024</v>
      </c>
      <c r="AO5" s="143"/>
      <c r="AP5" s="143"/>
      <c r="AQ5" s="144"/>
      <c r="AR5"/>
      <c r="AS5" s="144"/>
      <c r="AT5" s="144"/>
      <c r="AU5" s="144"/>
      <c r="AV5" s="144"/>
      <c r="AW5" s="145"/>
      <c r="AX5" s="145"/>
      <c r="AY5" s="145"/>
      <c r="AZ5" s="145"/>
    </row>
    <row r="6" spans="1:44" ht="19.5" customHeight="1">
      <c r="A6" s="136" t="str">
        <f>CONCATENATE("Standard Deviation ",label)</f>
        <v>Standard Deviation 1981-2005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K6" s="81"/>
      <c r="AL6" s="81"/>
      <c r="AM6" s="81"/>
      <c r="AN6" s="81"/>
      <c r="AO6" s="48"/>
      <c r="AP6" s="48"/>
      <c r="AR6"/>
    </row>
    <row r="7" spans="1:44" ht="12.75">
      <c r="A7" s="1" t="s">
        <v>84</v>
      </c>
      <c r="B7" s="43">
        <f aca="true" t="shared" si="1" ref="B7:X7">IF(flag=1,B27,B28)</f>
        <v>7.884458077040068</v>
      </c>
      <c r="C7" s="43">
        <f t="shared" si="1"/>
        <v>10.687632058820494</v>
      </c>
      <c r="D7" s="43">
        <f t="shared" si="1"/>
        <v>8.45002141561142</v>
      </c>
      <c r="E7" s="43">
        <f t="shared" si="1"/>
        <v>8.51410452154909</v>
      </c>
      <c r="F7" s="43">
        <f t="shared" si="1"/>
        <v>7.244399619244214</v>
      </c>
      <c r="G7" s="43">
        <f t="shared" si="1"/>
        <v>6.395270106200022</v>
      </c>
      <c r="H7" s="43">
        <f t="shared" si="1"/>
        <v>8.602587695165585</v>
      </c>
      <c r="I7" s="43">
        <f t="shared" si="1"/>
        <v>8.883635312283474</v>
      </c>
      <c r="J7" s="43">
        <f t="shared" si="1"/>
        <v>8.360318488818631</v>
      </c>
      <c r="K7" s="43">
        <f t="shared" si="1"/>
        <v>6.5645893505077</v>
      </c>
      <c r="L7" s="43">
        <f t="shared" si="1"/>
        <v>6.475380211371434</v>
      </c>
      <c r="M7" s="43">
        <f t="shared" si="1"/>
        <v>10.39334617795664</v>
      </c>
      <c r="N7" s="43">
        <f t="shared" si="1"/>
        <v>12.482455883202405</v>
      </c>
      <c r="O7" s="43">
        <f t="shared" si="1"/>
        <v>9.539912289601114</v>
      </c>
      <c r="P7" s="43">
        <f t="shared" si="1"/>
        <v>8.636052484466266</v>
      </c>
      <c r="Q7" s="43">
        <f t="shared" si="1"/>
        <v>8.295226813843549</v>
      </c>
      <c r="R7" s="43">
        <f t="shared" si="1"/>
        <v>8.2539667759969</v>
      </c>
      <c r="S7" s="43">
        <f t="shared" si="1"/>
        <v>9.32811923503245</v>
      </c>
      <c r="T7" s="43">
        <f t="shared" si="1"/>
        <v>9.597734089935031</v>
      </c>
      <c r="U7" s="43">
        <f t="shared" si="1"/>
        <v>9.183721780014842</v>
      </c>
      <c r="V7" s="43">
        <f t="shared" si="1"/>
        <v>10.559040067835916</v>
      </c>
      <c r="W7" s="43">
        <f t="shared" si="1"/>
        <v>8.955669755585008</v>
      </c>
      <c r="X7" s="43">
        <f t="shared" si="1"/>
        <v>8.780804548531854</v>
      </c>
      <c r="Z7" s="43">
        <f aca="true" t="shared" si="2" ref="Z7:AI7">IF(flag=1,Z27,Z28)</f>
        <v>8.243316731274254</v>
      </c>
      <c r="AA7" s="43">
        <f t="shared" si="2"/>
        <v>6.999877896116521</v>
      </c>
      <c r="AB7" s="43">
        <f t="shared" si="2"/>
        <v>6.395270106200022</v>
      </c>
      <c r="AC7" s="43">
        <f t="shared" si="2"/>
        <v>8.602587695165585</v>
      </c>
      <c r="AD7" s="43">
        <f t="shared" si="2"/>
        <v>11.989437059207056</v>
      </c>
      <c r="AE7" s="43">
        <f t="shared" si="2"/>
        <v>13.640343037176487</v>
      </c>
      <c r="AF7" s="43">
        <f t="shared" si="2"/>
        <v>9.157429996298125</v>
      </c>
      <c r="AG7" s="43">
        <f t="shared" si="2"/>
        <v>8.220782207013372</v>
      </c>
      <c r="AH7" s="43">
        <f t="shared" si="2"/>
        <v>9.59229306219408</v>
      </c>
      <c r="AI7" s="43">
        <f t="shared" si="2"/>
        <v>8.920986308876989</v>
      </c>
      <c r="AK7" s="43">
        <f>IF(flag=1,AK27,AK28)</f>
        <v>7.14808217580301</v>
      </c>
      <c r="AL7" s="43">
        <f>IF(flag=1,AL27,AL28)</f>
        <v>10.33043516048319</v>
      </c>
      <c r="AM7" s="43">
        <f>IF(flag=1,AM27,AM28)</f>
        <v>9.231998675085691</v>
      </c>
      <c r="AN7" s="43">
        <f>IF(flag=1,AN27,AN28)</f>
        <v>8.412227603059966</v>
      </c>
      <c r="AO7" s="48"/>
      <c r="AP7" s="48"/>
      <c r="AR7"/>
    </row>
    <row r="8" spans="1:44" ht="12.75">
      <c r="A8" s="3" t="s">
        <v>2</v>
      </c>
      <c r="B8" s="43">
        <f aca="true" t="shared" si="3" ref="B8:X8">IF(flag=1,AR27,AR28)</f>
        <v>11.766306277522405</v>
      </c>
      <c r="C8" s="43">
        <f t="shared" si="3"/>
        <v>19.044863348160163</v>
      </c>
      <c r="D8" s="43">
        <f t="shared" si="3"/>
        <v>13.183312546038094</v>
      </c>
      <c r="E8" s="43">
        <f t="shared" si="3"/>
        <v>13.390755872529125</v>
      </c>
      <c r="F8" s="43">
        <f t="shared" si="3"/>
        <v>9.773486977914759</v>
      </c>
      <c r="G8" s="43">
        <f t="shared" si="3"/>
        <v>9.35614031133906</v>
      </c>
      <c r="H8" s="43">
        <f t="shared" si="3"/>
        <v>10.071936612815133</v>
      </c>
      <c r="I8" s="43">
        <f t="shared" si="3"/>
        <v>10.507411340836535</v>
      </c>
      <c r="J8" s="43">
        <f t="shared" si="3"/>
        <v>9.450076539347023</v>
      </c>
      <c r="K8" s="43">
        <f t="shared" si="3"/>
        <v>8.779603424048648</v>
      </c>
      <c r="L8" s="43">
        <f t="shared" si="3"/>
        <v>7.853702263991996</v>
      </c>
      <c r="M8" s="43">
        <f t="shared" si="3"/>
        <v>17.802173461199782</v>
      </c>
      <c r="N8" s="43">
        <f t="shared" si="3"/>
        <v>23.00156077528314</v>
      </c>
      <c r="O8" s="43">
        <f t="shared" si="3"/>
        <v>13.986681200655969</v>
      </c>
      <c r="P8" s="43">
        <f t="shared" si="3"/>
        <v>11.61879398121625</v>
      </c>
      <c r="Q8" s="43">
        <f t="shared" si="3"/>
        <v>10.653378136945284</v>
      </c>
      <c r="R8" s="43">
        <f t="shared" si="3"/>
        <v>11.641782117904071</v>
      </c>
      <c r="S8" s="43">
        <f t="shared" si="3"/>
        <v>13.50933834283175</v>
      </c>
      <c r="T8" s="43">
        <f t="shared" si="3"/>
        <v>14.174187938421321</v>
      </c>
      <c r="U8" s="43">
        <f t="shared" si="3"/>
        <v>11.944339396637774</v>
      </c>
      <c r="V8" s="43">
        <f t="shared" si="3"/>
        <v>16.486438026227134</v>
      </c>
      <c r="W8" s="43">
        <f t="shared" si="3"/>
        <v>13.939810396940604</v>
      </c>
      <c r="X8" s="43">
        <f t="shared" si="3"/>
        <v>11.284277599017924</v>
      </c>
      <c r="Z8" s="43">
        <f aca="true" t="shared" si="4" ref="Z8:AI8">IF(flag=1,BP27,BP28)</f>
        <v>12.994628279039754</v>
      </c>
      <c r="AA8" s="43">
        <f t="shared" si="4"/>
        <v>9.29596434944628</v>
      </c>
      <c r="AB8" s="43">
        <f t="shared" si="4"/>
        <v>9.35614031133906</v>
      </c>
      <c r="AC8" s="43">
        <f t="shared" si="4"/>
        <v>10.071936612815133</v>
      </c>
      <c r="AD8" s="43">
        <f t="shared" si="4"/>
        <v>21.882963227195567</v>
      </c>
      <c r="AE8" s="43">
        <f t="shared" si="4"/>
        <v>25.081749792651543</v>
      </c>
      <c r="AF8" s="43">
        <f t="shared" si="4"/>
        <v>12.750392523549529</v>
      </c>
      <c r="AG8" s="43">
        <f t="shared" si="4"/>
        <v>11.440202597566993</v>
      </c>
      <c r="AH8" s="43">
        <f t="shared" si="4"/>
        <v>13.707710688290328</v>
      </c>
      <c r="AI8" s="43">
        <f t="shared" si="4"/>
        <v>13.592126425299362</v>
      </c>
      <c r="AK8" s="43">
        <f>IF(flag=1,CA27,CA28)</f>
        <v>10.046417274091663</v>
      </c>
      <c r="AL8" s="43">
        <f>IF(flag=1,CB27,CB28)</f>
        <v>17.645731774167835</v>
      </c>
      <c r="AM8" s="43">
        <f>IF(flag=1,CC27,CC28)</f>
        <v>13.183869487753416</v>
      </c>
      <c r="AN8" s="43">
        <f>IF(flag=1,CD27,CD28)</f>
        <v>13.1474585921725</v>
      </c>
      <c r="AO8" s="43"/>
      <c r="AP8" s="43"/>
      <c r="AR8"/>
    </row>
    <row r="9" spans="1:44" ht="12.75">
      <c r="A9" s="68" t="s">
        <v>116</v>
      </c>
      <c r="B9" s="44">
        <f>+B8/B7</f>
        <v>1.4923417897022588</v>
      </c>
      <c r="C9" s="44">
        <f aca="true" t="shared" si="5" ref="C9:AN9">+C8/C7</f>
        <v>1.7819534994603836</v>
      </c>
      <c r="D9" s="44">
        <f t="shared" si="5"/>
        <v>1.5601513768570947</v>
      </c>
      <c r="E9" s="44">
        <f t="shared" si="5"/>
        <v>1.572773253914994</v>
      </c>
      <c r="F9" s="44">
        <f t="shared" si="5"/>
        <v>1.3491093108602419</v>
      </c>
      <c r="G9" s="44">
        <f t="shared" si="5"/>
        <v>1.462978131645849</v>
      </c>
      <c r="H9" s="44">
        <f t="shared" si="5"/>
        <v>1.1708031315362564</v>
      </c>
      <c r="I9" s="44">
        <f t="shared" si="5"/>
        <v>1.1827828328688654</v>
      </c>
      <c r="J9" s="44">
        <f t="shared" si="5"/>
        <v>1.1303488679272053</v>
      </c>
      <c r="K9" s="44">
        <f t="shared" si="5"/>
        <v>1.3374185276904855</v>
      </c>
      <c r="L9" s="44">
        <f t="shared" si="5"/>
        <v>1.212855771804733</v>
      </c>
      <c r="M9" s="44">
        <f t="shared" si="5"/>
        <v>1.7128433092084052</v>
      </c>
      <c r="N9" s="44">
        <f t="shared" si="5"/>
        <v>1.8427111612095703</v>
      </c>
      <c r="O9" s="44">
        <f t="shared" si="5"/>
        <v>1.4661226200058475</v>
      </c>
      <c r="P9" s="44">
        <f t="shared" si="5"/>
        <v>1.3453825115253832</v>
      </c>
      <c r="Q9" s="44">
        <f t="shared" si="5"/>
        <v>1.2842781006501616</v>
      </c>
      <c r="R9" s="44">
        <f t="shared" si="5"/>
        <v>1.4104469322264743</v>
      </c>
      <c r="S9" s="44">
        <f t="shared" si="5"/>
        <v>1.4482381713235846</v>
      </c>
      <c r="T9" s="44">
        <f t="shared" si="5"/>
        <v>1.4768264890028089</v>
      </c>
      <c r="U9" s="44">
        <f t="shared" si="5"/>
        <v>1.3005990036229593</v>
      </c>
      <c r="V9" s="44">
        <f t="shared" si="5"/>
        <v>1.5613576537555505</v>
      </c>
      <c r="W9" s="44">
        <f t="shared" si="5"/>
        <v>1.5565346621057956</v>
      </c>
      <c r="X9" s="44">
        <f t="shared" si="5"/>
        <v>1.2851074792348782</v>
      </c>
      <c r="Z9" s="44">
        <f t="shared" si="5"/>
        <v>1.5763834755662776</v>
      </c>
      <c r="AA9" s="44">
        <f t="shared" si="5"/>
        <v>1.3280180722300328</v>
      </c>
      <c r="AB9" s="44">
        <f t="shared" si="5"/>
        <v>1.462978131645849</v>
      </c>
      <c r="AC9" s="44">
        <f t="shared" si="5"/>
        <v>1.1708031315362564</v>
      </c>
      <c r="AD9" s="44">
        <f t="shared" si="5"/>
        <v>1.8251868806793534</v>
      </c>
      <c r="AE9" s="44">
        <f t="shared" si="5"/>
        <v>1.8387917169158963</v>
      </c>
      <c r="AF9" s="44">
        <f t="shared" si="5"/>
        <v>1.3923548996502133</v>
      </c>
      <c r="AG9" s="44">
        <f t="shared" si="5"/>
        <v>1.3916197156770613</v>
      </c>
      <c r="AH9" s="44">
        <f t="shared" si="5"/>
        <v>1.4290337669431998</v>
      </c>
      <c r="AI9" s="44">
        <f t="shared" si="5"/>
        <v>1.5236125193661905</v>
      </c>
      <c r="AK9" s="44">
        <f t="shared" si="5"/>
        <v>1.4054703103581845</v>
      </c>
      <c r="AL9" s="44">
        <f t="shared" si="5"/>
        <v>1.7081305385534682</v>
      </c>
      <c r="AM9" s="44">
        <f t="shared" si="5"/>
        <v>1.4280623245032087</v>
      </c>
      <c r="AN9" s="44">
        <f t="shared" si="5"/>
        <v>1.5628985819867836</v>
      </c>
      <c r="AO9" s="43"/>
      <c r="AP9" s="43"/>
      <c r="AR9"/>
    </row>
    <row r="10" spans="1:44" ht="19.5" customHeight="1">
      <c r="A10" s="126" t="str">
        <f>CONCATENATE("Serial Correlation ",label," Lag 1")</f>
        <v>Serial Correlation 1981-2005 Lag 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K10" s="81"/>
      <c r="AL10" s="81"/>
      <c r="AM10" s="81"/>
      <c r="AN10" s="81"/>
      <c r="AO10" s="43"/>
      <c r="AP10" s="43"/>
      <c r="AR10"/>
    </row>
    <row r="11" spans="1:44" ht="12.75">
      <c r="A11" s="1" t="s">
        <v>84</v>
      </c>
      <c r="B11" s="44">
        <f aca="true" t="shared" si="6" ref="B11:X11">IF(flag=1,B30,B31)</f>
        <v>0.38923937510646733</v>
      </c>
      <c r="C11" s="44">
        <f t="shared" si="6"/>
        <v>0.5213410817002887</v>
      </c>
      <c r="D11" s="44">
        <f t="shared" si="6"/>
        <v>0.42861466605393206</v>
      </c>
      <c r="E11" s="44">
        <f t="shared" si="6"/>
        <v>0.4427846396957985</v>
      </c>
      <c r="F11" s="44">
        <f t="shared" si="6"/>
        <v>0.30533709178709156</v>
      </c>
      <c r="G11" s="44">
        <f t="shared" si="6"/>
        <v>0.3660819659050262</v>
      </c>
      <c r="H11" s="44">
        <f t="shared" si="6"/>
        <v>0.15641239234087698</v>
      </c>
      <c r="I11" s="44">
        <f t="shared" si="6"/>
        <v>0.16664800459495535</v>
      </c>
      <c r="J11" s="44">
        <f t="shared" si="6"/>
        <v>0.12199406626768737</v>
      </c>
      <c r="K11" s="44">
        <f t="shared" si="6"/>
        <v>0.28492540607199995</v>
      </c>
      <c r="L11" s="44">
        <f t="shared" si="6"/>
        <v>0.1929454473657577</v>
      </c>
      <c r="M11" s="44">
        <f t="shared" si="6"/>
        <v>0.494188474647891</v>
      </c>
      <c r="N11" s="44">
        <f t="shared" si="6"/>
        <v>0.5469320236066681</v>
      </c>
      <c r="O11" s="44">
        <f t="shared" si="6"/>
        <v>0.36919675943436436</v>
      </c>
      <c r="P11" s="44">
        <f t="shared" si="6"/>
        <v>0.29374224785356456</v>
      </c>
      <c r="Q11" s="44">
        <f t="shared" si="6"/>
        <v>0.24977721640517858</v>
      </c>
      <c r="R11" s="44">
        <f t="shared" si="6"/>
        <v>0.33146910644255884</v>
      </c>
      <c r="S11" s="44">
        <f t="shared" si="6"/>
        <v>0.3543249449671558</v>
      </c>
      <c r="T11" s="44">
        <f t="shared" si="6"/>
        <v>0.3713262123602428</v>
      </c>
      <c r="U11" s="44">
        <f t="shared" si="6"/>
        <v>0.25700445697307894</v>
      </c>
      <c r="V11" s="44">
        <f t="shared" si="6"/>
        <v>0.41853835856808586</v>
      </c>
      <c r="W11" s="44">
        <f t="shared" si="6"/>
        <v>0.41704756141092425</v>
      </c>
      <c r="X11" s="44">
        <f t="shared" si="6"/>
        <v>0.24610745120507704</v>
      </c>
      <c r="Z11" s="44">
        <f aca="true" t="shared" si="7" ref="Z11:AI11">IF(flag=1,Z30,Z31)</f>
        <v>0.4318637270890413</v>
      </c>
      <c r="AA11" s="44">
        <f t="shared" si="7"/>
        <v>0.2875877592135416</v>
      </c>
      <c r="AB11" s="44">
        <f t="shared" si="7"/>
        <v>0.3660819659050262</v>
      </c>
      <c r="AC11" s="44">
        <f t="shared" si="7"/>
        <v>0.15641239234087698</v>
      </c>
      <c r="AD11" s="44">
        <f t="shared" si="7"/>
        <v>0.5417438463953508</v>
      </c>
      <c r="AE11" s="44">
        <f t="shared" si="7"/>
        <v>0.5446684578098064</v>
      </c>
      <c r="AF11" s="44">
        <f t="shared" si="7"/>
        <v>0.32287346801849026</v>
      </c>
      <c r="AG11" s="44">
        <f t="shared" si="7"/>
        <v>0.319503422458952</v>
      </c>
      <c r="AH11" s="44">
        <f t="shared" si="7"/>
        <v>0.34262117242516416</v>
      </c>
      <c r="AI11" s="44">
        <f t="shared" si="7"/>
        <v>0.39901936622734185</v>
      </c>
      <c r="AK11" s="44">
        <f>IF(flag=1,AK30,AK31)</f>
        <v>0.33268061374019253</v>
      </c>
      <c r="AL11" s="44">
        <f>IF(flag=1,AL30,AL31)</f>
        <v>0.49212700356264294</v>
      </c>
      <c r="AM11" s="44">
        <f>IF(flag=1,AM30,AM31)</f>
        <v>0.3419796200965695</v>
      </c>
      <c r="AN11" s="44">
        <f>IF(flag=1,AN30,AN31)</f>
        <v>0.42126198673391024</v>
      </c>
      <c r="AO11" s="44"/>
      <c r="AP11" s="44"/>
      <c r="AQ11" s="4"/>
      <c r="AR11"/>
    </row>
    <row r="12" spans="1:44" ht="12.75">
      <c r="A12" s="3" t="s">
        <v>2</v>
      </c>
      <c r="B12" s="44">
        <f aca="true" t="shared" si="8" ref="B12:X12">IF(flag=1,AR30,AR31)</f>
        <v>0.13973285549610484</v>
      </c>
      <c r="C12" s="44">
        <f t="shared" si="8"/>
        <v>0.2588238784241825</v>
      </c>
      <c r="D12" s="44">
        <f t="shared" si="8"/>
        <v>0.12150592639516364</v>
      </c>
      <c r="E12" s="44">
        <f t="shared" si="8"/>
        <v>0.09995656041017173</v>
      </c>
      <c r="F12" s="44">
        <f t="shared" si="8"/>
        <v>0.09807845186548624</v>
      </c>
      <c r="G12" s="44">
        <f t="shared" si="8"/>
        <v>0.16284422112702823</v>
      </c>
      <c r="H12" s="44">
        <f t="shared" si="8"/>
        <v>0.047509734614115715</v>
      </c>
      <c r="I12" s="44">
        <f t="shared" si="8"/>
        <v>0.04465701653474104</v>
      </c>
      <c r="J12" s="44">
        <f t="shared" si="8"/>
        <v>0.04357245482136026</v>
      </c>
      <c r="K12" s="44">
        <f t="shared" si="8"/>
        <v>0.11351373860382752</v>
      </c>
      <c r="L12" s="44">
        <f t="shared" si="8"/>
        <v>0.03751369500341596</v>
      </c>
      <c r="M12" s="44">
        <f t="shared" si="8"/>
        <v>0.30714888108186666</v>
      </c>
      <c r="N12" s="44">
        <f t="shared" si="8"/>
        <v>0.3493748357031644</v>
      </c>
      <c r="O12" s="44">
        <f t="shared" si="8"/>
        <v>0.1920494552589893</v>
      </c>
      <c r="P12" s="44">
        <f t="shared" si="8"/>
        <v>0.1418100991463355</v>
      </c>
      <c r="Q12" s="44">
        <f t="shared" si="8"/>
        <v>0.1072671483813434</v>
      </c>
      <c r="R12" s="44">
        <f t="shared" si="8"/>
        <v>0.12691410296764044</v>
      </c>
      <c r="S12" s="44">
        <f t="shared" si="8"/>
        <v>0.11617555202289274</v>
      </c>
      <c r="T12" s="44">
        <f t="shared" si="8"/>
        <v>0.12556706979067703</v>
      </c>
      <c r="U12" s="44">
        <f t="shared" si="8"/>
        <v>0.07263779907988253</v>
      </c>
      <c r="V12" s="44">
        <f t="shared" si="8"/>
        <v>0.15487297626801413</v>
      </c>
      <c r="W12" s="44">
        <f t="shared" si="8"/>
        <v>0.11192558212035296</v>
      </c>
      <c r="X12" s="44">
        <f t="shared" si="8"/>
        <v>0.04796200276973048</v>
      </c>
      <c r="Z12" s="44">
        <f aca="true" t="shared" si="9" ref="Z12:AI12">IF(flag=1,BP30,BP31)</f>
        <v>0.16601104355745494</v>
      </c>
      <c r="AA12" s="44">
        <f t="shared" si="9"/>
        <v>0.09712587924787952</v>
      </c>
      <c r="AB12" s="44">
        <f t="shared" si="9"/>
        <v>0.16284422112702823</v>
      </c>
      <c r="AC12" s="44">
        <f t="shared" si="9"/>
        <v>0.047509734614115715</v>
      </c>
      <c r="AD12" s="44">
        <f t="shared" si="9"/>
        <v>0.29690458117233426</v>
      </c>
      <c r="AE12" s="44">
        <f t="shared" si="9"/>
        <v>0.3586074669102877</v>
      </c>
      <c r="AF12" s="44">
        <f t="shared" si="9"/>
        <v>0.16247970654951724</v>
      </c>
      <c r="AG12" s="44">
        <f t="shared" si="9"/>
        <v>0.1293484476629434</v>
      </c>
      <c r="AH12" s="44">
        <f t="shared" si="9"/>
        <v>0.11290412712627748</v>
      </c>
      <c r="AI12" s="44">
        <f t="shared" si="9"/>
        <v>0.09449126069858443</v>
      </c>
      <c r="AK12" s="44">
        <f>IF(flag=1,CA30,CA31)</f>
        <v>0.1320746538439062</v>
      </c>
      <c r="AL12" s="44">
        <f>IF(flag=1,CB30,CB31)</f>
        <v>0.2997557129498161</v>
      </c>
      <c r="AM12" s="44">
        <f>IF(flag=1,CC30,CC31)</f>
        <v>0.10931374454293083</v>
      </c>
      <c r="AN12" s="44">
        <f>IF(flag=1,CD30,CD31)</f>
        <v>0.21895726030540874</v>
      </c>
      <c r="AO12" s="67"/>
      <c r="AP12" s="67"/>
      <c r="AR12"/>
    </row>
    <row r="13" spans="1:44" ht="19.5" customHeight="1">
      <c r="A13" s="126" t="s">
        <v>117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K13" s="82"/>
      <c r="AL13" s="82"/>
      <c r="AM13" s="82"/>
      <c r="AN13" s="82"/>
      <c r="AO13" s="67"/>
      <c r="AP13" s="67"/>
      <c r="AR13"/>
    </row>
    <row r="14" spans="1:44" ht="12.75">
      <c r="A14" s="1" t="s">
        <v>84</v>
      </c>
      <c r="B14" s="44">
        <f aca="true" t="shared" si="10" ref="B14:X14">IF(flag=1,B33,B34)</f>
        <v>0.030054158400608145</v>
      </c>
      <c r="C14" s="44">
        <f t="shared" si="10"/>
        <v>0.004493823230410447</v>
      </c>
      <c r="D14" s="44">
        <f t="shared" si="10"/>
        <v>0.018319683052985068</v>
      </c>
      <c r="E14" s="44">
        <f t="shared" si="10"/>
        <v>0.03024769353533483</v>
      </c>
      <c r="F14" s="44">
        <f t="shared" si="10"/>
        <v>0.1468075005503071</v>
      </c>
      <c r="G14" s="44">
        <f t="shared" si="10"/>
        <v>0.07851832609899372</v>
      </c>
      <c r="H14" s="44">
        <f t="shared" si="10"/>
        <v>0.46547207244098954</v>
      </c>
      <c r="I14" s="44">
        <f t="shared" si="10"/>
        <v>0.4363990013087461</v>
      </c>
      <c r="J14" s="44">
        <f t="shared" si="10"/>
        <v>0.5701233171837929</v>
      </c>
      <c r="K14" s="44">
        <f t="shared" si="10"/>
        <v>0.17717685934286265</v>
      </c>
      <c r="L14" s="44">
        <f t="shared" si="10"/>
        <v>0.3663639942480934</v>
      </c>
      <c r="M14" s="44">
        <f t="shared" si="10"/>
        <v>0.01410418729843312</v>
      </c>
      <c r="N14" s="44">
        <f t="shared" si="10"/>
        <v>0.005679557285122733</v>
      </c>
      <c r="O14" s="44">
        <f t="shared" si="10"/>
        <v>0.07582047044180397</v>
      </c>
      <c r="P14" s="44">
        <f t="shared" si="10"/>
        <v>0.16356676988393237</v>
      </c>
      <c r="Q14" s="44">
        <f t="shared" si="10"/>
        <v>0.239154358860576</v>
      </c>
      <c r="R14" s="44">
        <f t="shared" si="10"/>
        <v>0.11358500965137086</v>
      </c>
      <c r="S14" s="44">
        <f t="shared" si="10"/>
        <v>0.08935933109693811</v>
      </c>
      <c r="T14" s="44">
        <f t="shared" si="10"/>
        <v>0.07401692731933278</v>
      </c>
      <c r="U14" s="44">
        <f t="shared" si="10"/>
        <v>0.22538247022515923</v>
      </c>
      <c r="V14" s="44">
        <f t="shared" si="10"/>
        <v>0.04180205198091311</v>
      </c>
      <c r="W14" s="44">
        <f t="shared" si="10"/>
        <v>0.042612158045630004</v>
      </c>
      <c r="X14" s="44">
        <f t="shared" si="10"/>
        <v>0.24635404794142424</v>
      </c>
      <c r="Z14" s="44">
        <f aca="true" t="shared" si="11" ref="Z14:AI14">IF(flag=1,Z33,Z34)</f>
        <v>0.03508696960801976</v>
      </c>
      <c r="AA14" s="44">
        <f t="shared" si="11"/>
        <v>0.172987162940337</v>
      </c>
      <c r="AB14" s="44">
        <f t="shared" si="11"/>
        <v>0.07851832609899372</v>
      </c>
      <c r="AC14" s="44">
        <f t="shared" si="11"/>
        <v>0.46547207244098954</v>
      </c>
      <c r="AD14" s="44">
        <f t="shared" si="11"/>
        <v>0.006251267478374248</v>
      </c>
      <c r="AE14" s="44">
        <f t="shared" si="11"/>
        <v>0.005923355928048357</v>
      </c>
      <c r="AF14" s="44">
        <f t="shared" si="11"/>
        <v>0.12383788490912173</v>
      </c>
      <c r="AG14" s="44">
        <f t="shared" si="11"/>
        <v>0.12803546065506077</v>
      </c>
      <c r="AH14" s="44">
        <f t="shared" si="11"/>
        <v>0.10122723787060148</v>
      </c>
      <c r="AI14" s="44">
        <f t="shared" si="11"/>
        <v>0.05341747512308375</v>
      </c>
      <c r="AK14" s="44">
        <f>IF(flag=1,AK33,AK34)</f>
        <v>0.11219150339389994</v>
      </c>
      <c r="AL14" s="44">
        <f>IF(flag=1,AL33,AL34)</f>
        <v>0.014574286976132096</v>
      </c>
      <c r="AM14" s="44">
        <f>IF(flag=1,AM33,AM34)</f>
        <v>0.10190992708056647</v>
      </c>
      <c r="AN14" s="44">
        <f>IF(flag=1,AN33,AN34)</f>
        <v>0.04035334513793414</v>
      </c>
      <c r="AO14" s="67"/>
      <c r="AP14" s="67"/>
      <c r="AR14"/>
    </row>
    <row r="15" spans="1:44" ht="12.75">
      <c r="A15" s="3" t="s">
        <v>2</v>
      </c>
      <c r="B15" s="44">
        <f aca="true" t="shared" si="12" ref="B15:X15">IF(flag=1,AR33,AR34)</f>
        <v>0.5149099560313606</v>
      </c>
      <c r="C15" s="44">
        <f t="shared" si="12"/>
        <v>0.22200024056143985</v>
      </c>
      <c r="D15" s="44">
        <f t="shared" si="12"/>
        <v>0.5716789407825245</v>
      </c>
      <c r="E15" s="44">
        <f t="shared" si="12"/>
        <v>0.642138599582723</v>
      </c>
      <c r="F15" s="44">
        <f t="shared" si="12"/>
        <v>0.6484357953049185</v>
      </c>
      <c r="G15" s="44">
        <f t="shared" si="12"/>
        <v>0.44708779738111337</v>
      </c>
      <c r="H15" s="44">
        <f t="shared" si="12"/>
        <v>0.8255220437047351</v>
      </c>
      <c r="I15" s="44">
        <f t="shared" si="12"/>
        <v>0.8358553934091446</v>
      </c>
      <c r="J15" s="44">
        <f t="shared" si="12"/>
        <v>0.8397910002555251</v>
      </c>
      <c r="K15" s="44">
        <f t="shared" si="12"/>
        <v>0.5974112263544968</v>
      </c>
      <c r="L15" s="44">
        <f t="shared" si="12"/>
        <v>0.8618428084701306</v>
      </c>
      <c r="M15" s="44">
        <f t="shared" si="12"/>
        <v>0.14430346581383113</v>
      </c>
      <c r="N15" s="44">
        <f t="shared" si="12"/>
        <v>0.09424460485667278</v>
      </c>
      <c r="O15" s="44">
        <f t="shared" si="12"/>
        <v>0.3686366603549597</v>
      </c>
      <c r="P15" s="44">
        <f t="shared" si="12"/>
        <v>0.5086181148434357</v>
      </c>
      <c r="Q15" s="44">
        <f t="shared" si="12"/>
        <v>0.6178568978360603</v>
      </c>
      <c r="R15" s="44">
        <f t="shared" si="12"/>
        <v>0.5545498101655422</v>
      </c>
      <c r="S15" s="44">
        <f t="shared" si="12"/>
        <v>0.5887867626042077</v>
      </c>
      <c r="T15" s="44">
        <f t="shared" si="12"/>
        <v>0.5587943065624912</v>
      </c>
      <c r="U15" s="44">
        <f t="shared" si="12"/>
        <v>0.7358904348051446</v>
      </c>
      <c r="V15" s="44">
        <f t="shared" si="12"/>
        <v>0.46992937292251835</v>
      </c>
      <c r="W15" s="44">
        <f t="shared" si="12"/>
        <v>0.6025822522764239</v>
      </c>
      <c r="X15" s="44">
        <f t="shared" si="12"/>
        <v>0.8238863339138071</v>
      </c>
      <c r="Z15" s="44">
        <f aca="true" t="shared" si="13" ref="Z15:AI15">IF(flag=1,BP33,BP34)</f>
        <v>0.4381792785262141</v>
      </c>
      <c r="AA15" s="44">
        <f t="shared" si="13"/>
        <v>0.6516387127738882</v>
      </c>
      <c r="AB15" s="44">
        <f t="shared" si="13"/>
        <v>0.44708779738111337</v>
      </c>
      <c r="AC15" s="44">
        <f t="shared" si="13"/>
        <v>0.8255220437047351</v>
      </c>
      <c r="AD15" s="44">
        <f t="shared" si="13"/>
        <v>0.15886881318750168</v>
      </c>
      <c r="AE15" s="44">
        <f t="shared" si="13"/>
        <v>0.08528803095834027</v>
      </c>
      <c r="AF15" s="44">
        <f t="shared" si="13"/>
        <v>0.44811931262966787</v>
      </c>
      <c r="AG15" s="44">
        <f t="shared" si="13"/>
        <v>0.5469166238137337</v>
      </c>
      <c r="AH15" s="44">
        <f t="shared" si="13"/>
        <v>0.5993938984157848</v>
      </c>
      <c r="AI15" s="44">
        <f t="shared" si="13"/>
        <v>0.6605283564934441</v>
      </c>
      <c r="AK15" s="44">
        <f>IF(flag=1,CA33,CA34)</f>
        <v>0.5384261460907961</v>
      </c>
      <c r="AL15" s="44">
        <f>IF(flag=1,CB33,CB34)</f>
        <v>0.15471528396335854</v>
      </c>
      <c r="AM15" s="44">
        <f>IF(flag=1,CC33,CC34)</f>
        <v>0.6111268372574574</v>
      </c>
      <c r="AN15" s="44">
        <f>IF(flag=1,CD33,CD34)</f>
        <v>0.3039753316270436</v>
      </c>
      <c r="AO15" s="44"/>
      <c r="AP15" s="44"/>
      <c r="AR15"/>
    </row>
    <row r="16" spans="1:44" ht="12.75">
      <c r="A16" s="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K16" s="44"/>
      <c r="AL16" s="44"/>
      <c r="AM16" s="44"/>
      <c r="AN16" s="44"/>
      <c r="AO16" s="44"/>
      <c r="AP16" s="44"/>
      <c r="AR16" s="44"/>
    </row>
    <row r="17" spans="1:44" ht="12.75">
      <c r="A17" s="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K17" s="44"/>
      <c r="AL17" s="44"/>
      <c r="AM17" s="44"/>
      <c r="AN17" s="44"/>
      <c r="AO17" s="44"/>
      <c r="AP17" s="44"/>
      <c r="AR17" s="44"/>
    </row>
    <row r="18" spans="1:83" ht="16.5" thickBot="1">
      <c r="A18" s="139" t="s">
        <v>121</v>
      </c>
      <c r="B18" s="89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34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34"/>
      <c r="AK18" s="140"/>
      <c r="AL18" s="140"/>
      <c r="AM18" s="140"/>
      <c r="AN18" s="140"/>
      <c r="AO18" s="44"/>
      <c r="AP18" s="44"/>
      <c r="AR18" s="139" t="s">
        <v>122</v>
      </c>
      <c r="AS18" s="89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34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34"/>
      <c r="CB18" s="140"/>
      <c r="CC18" s="140"/>
      <c r="CD18" s="140"/>
      <c r="CE18" s="140"/>
    </row>
    <row r="19" spans="1:82" s="61" customFormat="1" ht="40.5" customHeight="1">
      <c r="A19" s="7" t="s">
        <v>9</v>
      </c>
      <c r="B19" s="42" t="s">
        <v>32</v>
      </c>
      <c r="C19" s="42" t="s">
        <v>33</v>
      </c>
      <c r="D19" s="42" t="s">
        <v>34</v>
      </c>
      <c r="E19" s="42" t="s">
        <v>35</v>
      </c>
      <c r="F19" s="42" t="s">
        <v>36</v>
      </c>
      <c r="G19" s="42" t="s">
        <v>37</v>
      </c>
      <c r="H19" s="42" t="s">
        <v>38</v>
      </c>
      <c r="I19" s="42" t="s">
        <v>39</v>
      </c>
      <c r="J19" s="86" t="s">
        <v>40</v>
      </c>
      <c r="K19" s="42" t="s">
        <v>41</v>
      </c>
      <c r="L19" s="42" t="s">
        <v>42</v>
      </c>
      <c r="M19" s="42" t="s">
        <v>43</v>
      </c>
      <c r="N19" s="42" t="s">
        <v>78</v>
      </c>
      <c r="O19" s="42" t="s">
        <v>34</v>
      </c>
      <c r="P19" s="86" t="s">
        <v>44</v>
      </c>
      <c r="Q19" s="86" t="s">
        <v>45</v>
      </c>
      <c r="R19" s="42" t="s">
        <v>36</v>
      </c>
      <c r="S19" s="42" t="s">
        <v>46</v>
      </c>
      <c r="T19" s="42" t="s">
        <v>47</v>
      </c>
      <c r="U19" s="86" t="s">
        <v>44</v>
      </c>
      <c r="V19" s="42" t="s">
        <v>45</v>
      </c>
      <c r="W19" s="42" t="s">
        <v>36</v>
      </c>
      <c r="X19" s="42" t="s">
        <v>48</v>
      </c>
      <c r="Y19"/>
      <c r="Z19" s="86" t="s">
        <v>79</v>
      </c>
      <c r="AA19" s="42" t="s">
        <v>80</v>
      </c>
      <c r="AB19" s="42" t="s">
        <v>49</v>
      </c>
      <c r="AC19" s="42" t="s">
        <v>50</v>
      </c>
      <c r="AD19" s="42" t="s">
        <v>51</v>
      </c>
      <c r="AE19" s="42" t="s">
        <v>52</v>
      </c>
      <c r="AF19" s="42" t="s">
        <v>53</v>
      </c>
      <c r="AG19" s="42" t="s">
        <v>54</v>
      </c>
      <c r="AH19" s="42" t="s">
        <v>81</v>
      </c>
      <c r="AI19" s="42" t="s">
        <v>82</v>
      </c>
      <c r="AJ19"/>
      <c r="AK19" s="133" t="s">
        <v>56</v>
      </c>
      <c r="AL19" s="133" t="s">
        <v>57</v>
      </c>
      <c r="AM19" s="133" t="s">
        <v>55</v>
      </c>
      <c r="AN19" s="133" t="s">
        <v>30</v>
      </c>
      <c r="AO19" s="62"/>
      <c r="AP19" s="62"/>
      <c r="AQ19" s="63"/>
      <c r="AR19" s="42" t="s">
        <v>32</v>
      </c>
      <c r="AS19" s="31" t="s">
        <v>33</v>
      </c>
      <c r="AT19" s="31" t="s">
        <v>34</v>
      </c>
      <c r="AU19" s="31" t="s">
        <v>35</v>
      </c>
      <c r="AV19" s="31" t="s">
        <v>36</v>
      </c>
      <c r="AW19" s="31" t="s">
        <v>37</v>
      </c>
      <c r="AX19" s="31" t="s">
        <v>38</v>
      </c>
      <c r="AY19" s="31" t="s">
        <v>39</v>
      </c>
      <c r="AZ19" s="73" t="s">
        <v>40</v>
      </c>
      <c r="BA19" s="31" t="s">
        <v>41</v>
      </c>
      <c r="BB19" s="31" t="s">
        <v>42</v>
      </c>
      <c r="BC19" s="31" t="s">
        <v>43</v>
      </c>
      <c r="BD19" s="31" t="s">
        <v>78</v>
      </c>
      <c r="BE19" s="31" t="s">
        <v>34</v>
      </c>
      <c r="BF19" s="73" t="s">
        <v>44</v>
      </c>
      <c r="BG19" s="73" t="s">
        <v>45</v>
      </c>
      <c r="BH19" s="31" t="s">
        <v>36</v>
      </c>
      <c r="BI19" s="31" t="s">
        <v>46</v>
      </c>
      <c r="BJ19" s="31" t="s">
        <v>47</v>
      </c>
      <c r="BK19" s="73" t="s">
        <v>44</v>
      </c>
      <c r="BL19" s="31" t="s">
        <v>45</v>
      </c>
      <c r="BM19" s="31" t="s">
        <v>36</v>
      </c>
      <c r="BN19" s="31" t="s">
        <v>48</v>
      </c>
      <c r="BO19" s="31"/>
      <c r="BP19" s="73" t="s">
        <v>79</v>
      </c>
      <c r="BQ19" s="31" t="s">
        <v>80</v>
      </c>
      <c r="BR19" s="31" t="s">
        <v>49</v>
      </c>
      <c r="BS19" s="31" t="s">
        <v>50</v>
      </c>
      <c r="BT19" s="31" t="s">
        <v>51</v>
      </c>
      <c r="BU19" s="31" t="s">
        <v>52</v>
      </c>
      <c r="BV19" s="31" t="s">
        <v>53</v>
      </c>
      <c r="BW19" s="31" t="s">
        <v>54</v>
      </c>
      <c r="BX19" s="31" t="s">
        <v>81</v>
      </c>
      <c r="BY19" s="31" t="s">
        <v>82</v>
      </c>
      <c r="BZ19" s="31"/>
      <c r="CA19" s="74" t="s">
        <v>56</v>
      </c>
      <c r="CB19" s="74" t="s">
        <v>57</v>
      </c>
      <c r="CC19" s="74" t="s">
        <v>55</v>
      </c>
      <c r="CD19" s="74" t="s">
        <v>30</v>
      </c>
    </row>
    <row r="20" spans="1:79" ht="18" customHeight="1">
      <c r="A20" s="121" t="s">
        <v>98</v>
      </c>
      <c r="AO20" s="43"/>
      <c r="AP20" s="43"/>
      <c r="AQ20" s="43"/>
      <c r="AS20" s="43"/>
      <c r="AT20" s="43"/>
      <c r="AU20" s="43"/>
      <c r="AV20" s="43"/>
      <c r="AW20" s="38"/>
      <c r="AX20" s="38"/>
      <c r="AY20" s="38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</row>
    <row r="21" spans="1:82" ht="12.75">
      <c r="A21" s="3" t="s">
        <v>12</v>
      </c>
      <c r="B21" s="43">
        <f>RATE(25,,-B73,B$98)*100</f>
        <v>11.146047115829305</v>
      </c>
      <c r="C21" s="43">
        <f>RATE(25,,-C73,C$98)*100</f>
        <v>11.682304517778483</v>
      </c>
      <c r="D21" s="43">
        <f>RATE(25,,-D73,D$98)*100</f>
        <v>11.74186331023146</v>
      </c>
      <c r="E21" s="43">
        <f>RATE(25,,-E73,E$98)*100</f>
        <v>10.577979489046285</v>
      </c>
      <c r="F21" s="43">
        <f aca="true" t="shared" si="14" ref="F21:AK21">RATE(25,,-F73,F$98)*100</f>
        <v>11.181448112018943</v>
      </c>
      <c r="G21" s="43">
        <f t="shared" si="14"/>
        <v>11.705957814812612</v>
      </c>
      <c r="H21" s="43">
        <f t="shared" si="14"/>
        <v>14.548275096806435</v>
      </c>
      <c r="I21" s="43">
        <f t="shared" si="14"/>
        <v>15.116590998138623</v>
      </c>
      <c r="J21" s="43">
        <f t="shared" si="14"/>
        <v>13.776957335210144</v>
      </c>
      <c r="K21" s="43">
        <f t="shared" si="14"/>
        <v>12.141586643039238</v>
      </c>
      <c r="L21" s="43">
        <f t="shared" si="14"/>
        <v>12.623880681316416</v>
      </c>
      <c r="M21" s="43">
        <f t="shared" si="14"/>
        <v>9.533775649264758</v>
      </c>
      <c r="N21" s="43">
        <f t="shared" si="14"/>
        <v>9.752648811502125</v>
      </c>
      <c r="O21" s="43">
        <f t="shared" si="14"/>
        <v>8.05396772912107</v>
      </c>
      <c r="P21" s="43">
        <f t="shared" si="14"/>
        <v>8.213807478742623</v>
      </c>
      <c r="Q21" s="43">
        <f t="shared" si="14"/>
        <v>9.345556457982788</v>
      </c>
      <c r="R21" s="43">
        <f t="shared" si="14"/>
        <v>10.472871098245868</v>
      </c>
      <c r="S21" s="43">
        <f t="shared" si="14"/>
        <v>12.301016709549865</v>
      </c>
      <c r="T21" s="43">
        <f t="shared" si="14"/>
        <v>12.938924990274469</v>
      </c>
      <c r="U21" s="43">
        <f t="shared" si="14"/>
        <v>11.879670910730471</v>
      </c>
      <c r="V21" s="43">
        <f t="shared" si="14"/>
        <v>12.423693837748363</v>
      </c>
      <c r="W21" s="43">
        <f t="shared" si="14"/>
        <v>12.517498410577371</v>
      </c>
      <c r="X21" s="43">
        <f t="shared" si="14"/>
        <v>12.567554530195043</v>
      </c>
      <c r="Z21" s="43">
        <f t="shared" si="14"/>
        <v>11.238101505319143</v>
      </c>
      <c r="AA21" s="43">
        <f t="shared" si="14"/>
        <v>11.378188338626025</v>
      </c>
      <c r="AB21" s="43">
        <f t="shared" si="14"/>
        <v>11.705957814812612</v>
      </c>
      <c r="AC21" s="43">
        <f t="shared" si="14"/>
        <v>14.548275096806435</v>
      </c>
      <c r="AD21" s="43">
        <f t="shared" si="14"/>
        <v>8.821971873126527</v>
      </c>
      <c r="AE21" s="43">
        <f t="shared" si="14"/>
        <v>10.547353629245274</v>
      </c>
      <c r="AF21" s="43">
        <f t="shared" si="14"/>
        <v>8.469604485607903</v>
      </c>
      <c r="AG21" s="43">
        <f t="shared" si="14"/>
        <v>10.387581347724055</v>
      </c>
      <c r="AH21" s="43">
        <f t="shared" si="14"/>
        <v>12.336026547755218</v>
      </c>
      <c r="AI21" s="43">
        <f t="shared" si="14"/>
        <v>12.4214928910265</v>
      </c>
      <c r="AK21" s="43">
        <f t="shared" si="14"/>
        <v>12.052081638620356</v>
      </c>
      <c r="AL21" s="43">
        <f>RATE(25,,-AL73,AL$98)*100</f>
        <v>9.546041968406122</v>
      </c>
      <c r="AM21" s="43">
        <f>RATE(25,,-AM73,AM$98)*100</f>
        <v>12.252934819072243</v>
      </c>
      <c r="AN21" s="43">
        <f>RATE(25,,-AN73,AN$98)*100</f>
        <v>10.89201261489021</v>
      </c>
      <c r="AO21" s="43"/>
      <c r="AP21" s="43"/>
      <c r="AQ21" s="43"/>
      <c r="AR21" s="43">
        <f aca="true" t="shared" si="15" ref="AR21:CA21">RATE(25,,-AR73,AR$98)*100</f>
        <v>10.794926290839193</v>
      </c>
      <c r="AS21" s="43">
        <f t="shared" si="15"/>
        <v>11.058649326760648</v>
      </c>
      <c r="AT21" s="43">
        <f t="shared" si="15"/>
        <v>11.241680608465348</v>
      </c>
      <c r="AU21" s="43">
        <f t="shared" si="15"/>
        <v>9.980825550591174</v>
      </c>
      <c r="AV21" s="43">
        <f t="shared" si="15"/>
        <v>10.929472949832938</v>
      </c>
      <c r="AW21" s="43">
        <f t="shared" si="15"/>
        <v>11.509804340325765</v>
      </c>
      <c r="AX21" s="43">
        <f t="shared" si="15"/>
        <v>14.476910996891931</v>
      </c>
      <c r="AY21" s="43">
        <f t="shared" si="15"/>
        <v>15.036901294617659</v>
      </c>
      <c r="AZ21" s="43">
        <f t="shared" si="15"/>
        <v>13.723931078627306</v>
      </c>
      <c r="BA21" s="43">
        <f t="shared" si="15"/>
        <v>12.02869850833634</v>
      </c>
      <c r="BB21" s="43">
        <f t="shared" si="15"/>
        <v>12.600707102265066</v>
      </c>
      <c r="BC21" s="43">
        <f t="shared" si="15"/>
        <v>8.787327800568324</v>
      </c>
      <c r="BD21" s="43">
        <f t="shared" si="15"/>
        <v>8.385100306700192</v>
      </c>
      <c r="BE21" s="43">
        <f t="shared" si="15"/>
        <v>7.676702938943504</v>
      </c>
      <c r="BF21" s="43">
        <f t="shared" si="15"/>
        <v>7.976679260507493</v>
      </c>
      <c r="BG21" s="43">
        <f t="shared" si="15"/>
        <v>9.154438929413299</v>
      </c>
      <c r="BH21" s="43">
        <f t="shared" si="15"/>
        <v>10.284015227273878</v>
      </c>
      <c r="BI21" s="43">
        <f t="shared" si="15"/>
        <v>12.006492494192047</v>
      </c>
      <c r="BJ21" s="43">
        <f t="shared" si="15"/>
        <v>12.60667857907785</v>
      </c>
      <c r="BK21" s="43">
        <f t="shared" si="15"/>
        <v>11.669908587486924</v>
      </c>
      <c r="BL21" s="43">
        <f t="shared" si="15"/>
        <v>11.790524713372037</v>
      </c>
      <c r="BM21" s="43">
        <f t="shared" si="15"/>
        <v>12.272425848145492</v>
      </c>
      <c r="BN21" s="43">
        <f t="shared" si="15"/>
        <v>12.407601289685616</v>
      </c>
      <c r="BO21" s="43"/>
      <c r="BP21" s="43">
        <f t="shared" si="15"/>
        <v>10.853778269615505</v>
      </c>
      <c r="BQ21" s="43">
        <f t="shared" si="15"/>
        <v>11.174107035424363</v>
      </c>
      <c r="BR21" s="43">
        <f t="shared" si="15"/>
        <v>11.509804340325765</v>
      </c>
      <c r="BS21" s="43">
        <f t="shared" si="15"/>
        <v>14.476910996891931</v>
      </c>
      <c r="BT21" s="43">
        <f t="shared" si="15"/>
        <v>7.407173694010977</v>
      </c>
      <c r="BU21" s="43">
        <f t="shared" si="15"/>
        <v>8.860205123863212</v>
      </c>
      <c r="BV21" s="43">
        <f t="shared" si="15"/>
        <v>8.228147735209603</v>
      </c>
      <c r="BW21" s="43">
        <f t="shared" si="15"/>
        <v>10.212000241787553</v>
      </c>
      <c r="BX21" s="43">
        <f t="shared" si="15"/>
        <v>12.001893940686085</v>
      </c>
      <c r="BY21" s="43">
        <f t="shared" si="15"/>
        <v>12.200193228371814</v>
      </c>
      <c r="BZ21" s="43"/>
      <c r="CA21" s="43">
        <f t="shared" si="15"/>
        <v>11.852866300954283</v>
      </c>
      <c r="CB21" s="43">
        <f>RATE(25,,-CB73,CB$98)*100</f>
        <v>8.80173048913401</v>
      </c>
      <c r="CC21" s="43">
        <f>RATE(25,,-CC73,CC$98)*100</f>
        <v>11.985526095222571</v>
      </c>
      <c r="CD21" s="43">
        <f>RATE(25,,-CD73,CD$98)*100</f>
        <v>10.539151924557842</v>
      </c>
    </row>
    <row r="22" spans="1:82" ht="12.75">
      <c r="A22" s="3" t="s">
        <v>13</v>
      </c>
      <c r="B22" s="43">
        <f>RATE(15,,-B83,B$98)*100</f>
        <v>10.14149694608709</v>
      </c>
      <c r="C22" s="43">
        <f>RATE(15,,-C83,C$98)*100</f>
        <v>10.72607720656521</v>
      </c>
      <c r="D22" s="43">
        <f>RATE(15,,-D83,D$98)*100</f>
        <v>10.948701952606617</v>
      </c>
      <c r="E22" s="43">
        <f>RATE(15,,-E83,E$98)*100</f>
        <v>9.036311173178865</v>
      </c>
      <c r="F22" s="43">
        <f aca="true" t="shared" si="16" ref="F22:AK22">RATE(15,,-F83,F$98)*100</f>
        <v>10.45396852529301</v>
      </c>
      <c r="G22" s="43">
        <f t="shared" si="16"/>
        <v>11.514502379402105</v>
      </c>
      <c r="H22" s="43">
        <f t="shared" si="16"/>
        <v>16.85664150365822</v>
      </c>
      <c r="I22" s="43">
        <f t="shared" si="16"/>
        <v>17.3546795491398</v>
      </c>
      <c r="J22" s="43">
        <f t="shared" si="16"/>
        <v>15.80709092520147</v>
      </c>
      <c r="K22" s="43">
        <f t="shared" si="16"/>
        <v>13.102171935614745</v>
      </c>
      <c r="L22" s="43">
        <f t="shared" si="16"/>
        <v>13.996456538910765</v>
      </c>
      <c r="M22" s="43">
        <f t="shared" si="16"/>
        <v>8.139444554394256</v>
      </c>
      <c r="N22" s="43">
        <f t="shared" si="16"/>
        <v>7.762037945985405</v>
      </c>
      <c r="O22" s="43">
        <f t="shared" si="16"/>
        <v>8.246997313686071</v>
      </c>
      <c r="P22" s="43">
        <f t="shared" si="16"/>
        <v>8.221581762131542</v>
      </c>
      <c r="Q22" s="43">
        <f t="shared" si="16"/>
        <v>8.810500520477394</v>
      </c>
      <c r="R22" s="43">
        <f t="shared" si="16"/>
        <v>9.704145227812177</v>
      </c>
      <c r="S22" s="43">
        <f t="shared" si="16"/>
        <v>12.164091477276102</v>
      </c>
      <c r="T22" s="43">
        <f t="shared" si="16"/>
        <v>12.993171396927766</v>
      </c>
      <c r="U22" s="43">
        <f t="shared" si="16"/>
        <v>11.692011018464301</v>
      </c>
      <c r="V22" s="43">
        <f t="shared" si="16"/>
        <v>11.59183936195885</v>
      </c>
      <c r="W22" s="43">
        <f t="shared" si="16"/>
        <v>12.699810982009774</v>
      </c>
      <c r="X22" s="43">
        <f t="shared" si="16"/>
        <v>12.311508494285796</v>
      </c>
      <c r="Z22" s="43">
        <f t="shared" si="16"/>
        <v>10.276773441702765</v>
      </c>
      <c r="AA22" s="43">
        <f t="shared" si="16"/>
        <v>10.920514724152474</v>
      </c>
      <c r="AB22" s="43">
        <f t="shared" si="16"/>
        <v>11.514502379402105</v>
      </c>
      <c r="AC22" s="43">
        <f t="shared" si="16"/>
        <v>16.85664150365822</v>
      </c>
      <c r="AD22" s="43">
        <f t="shared" si="16"/>
        <v>6.792182571398213</v>
      </c>
      <c r="AE22" s="43">
        <f t="shared" si="16"/>
        <v>8.379539990653702</v>
      </c>
      <c r="AF22" s="43">
        <f t="shared" si="16"/>
        <v>8.4214995453951</v>
      </c>
      <c r="AG22" s="43">
        <f t="shared" si="16"/>
        <v>9.559621230162731</v>
      </c>
      <c r="AH22" s="43">
        <f t="shared" si="16"/>
        <v>12.029918214477107</v>
      </c>
      <c r="AI22" s="43">
        <f t="shared" si="16"/>
        <v>12.527306201958352</v>
      </c>
      <c r="AK22" s="43">
        <f t="shared" si="16"/>
        <v>11.94347812185213</v>
      </c>
      <c r="AL22" s="43">
        <f>RATE(15,,-AL83,AL$98)*100</f>
        <v>8.159978322539702</v>
      </c>
      <c r="AM22" s="43">
        <f>RATE(15,,-AM83,AM$98)*100</f>
        <v>12.060198297404705</v>
      </c>
      <c r="AN22" s="43">
        <f>RATE(15,,-AN83,AN$98)*100</f>
        <v>10.39759622713467</v>
      </c>
      <c r="AO22" s="43"/>
      <c r="AP22" s="43"/>
      <c r="AQ22" s="43"/>
      <c r="AR22" s="43">
        <f aca="true" t="shared" si="17" ref="AR22:CA22">RATE(15,,-AR83,AR$98)*100</f>
        <v>11.080422610415312</v>
      </c>
      <c r="AS22" s="43">
        <f t="shared" si="17"/>
        <v>12.451884502360597</v>
      </c>
      <c r="AT22" s="43">
        <f t="shared" si="17"/>
        <v>12.166761160795433</v>
      </c>
      <c r="AU22" s="43">
        <f t="shared" si="17"/>
        <v>10.197153249510146</v>
      </c>
      <c r="AV22" s="43">
        <f t="shared" si="17"/>
        <v>11.00877351577441</v>
      </c>
      <c r="AW22" s="43">
        <f t="shared" si="17"/>
        <v>12.298193118946685</v>
      </c>
      <c r="AX22" s="43">
        <f t="shared" si="17"/>
        <v>17.19940897865256</v>
      </c>
      <c r="AY22" s="43">
        <f t="shared" si="17"/>
        <v>17.73249188775182</v>
      </c>
      <c r="AZ22" s="43">
        <f t="shared" si="17"/>
        <v>16.05015206617187</v>
      </c>
      <c r="BA22" s="43">
        <f t="shared" si="17"/>
        <v>13.654439544820828</v>
      </c>
      <c r="BB22" s="43">
        <f t="shared" si="17"/>
        <v>14.37581131817478</v>
      </c>
      <c r="BC22" s="43">
        <f t="shared" si="17"/>
        <v>9.569790051516897</v>
      </c>
      <c r="BD22" s="43">
        <f t="shared" si="17"/>
        <v>9.404429676797799</v>
      </c>
      <c r="BE22" s="43">
        <f t="shared" si="17"/>
        <v>8.944985864340307</v>
      </c>
      <c r="BF22" s="43">
        <f t="shared" si="17"/>
        <v>8.842711869055218</v>
      </c>
      <c r="BG22" s="43">
        <f t="shared" si="17"/>
        <v>9.286553026725306</v>
      </c>
      <c r="BH22" s="43">
        <f t="shared" si="17"/>
        <v>10.212786947722124</v>
      </c>
      <c r="BI22" s="43">
        <f t="shared" si="17"/>
        <v>12.772934208952877</v>
      </c>
      <c r="BJ22" s="43">
        <f t="shared" si="17"/>
        <v>13.64515601302975</v>
      </c>
      <c r="BK22" s="43">
        <f t="shared" si="17"/>
        <v>12.15821934153435</v>
      </c>
      <c r="BL22" s="43">
        <f t="shared" si="17"/>
        <v>12.363647267128112</v>
      </c>
      <c r="BM22" s="43">
        <f t="shared" si="17"/>
        <v>13.224775665981618</v>
      </c>
      <c r="BN22" s="43">
        <f t="shared" si="17"/>
        <v>12.534489503204169</v>
      </c>
      <c r="BO22" s="43"/>
      <c r="BP22" s="43">
        <f t="shared" si="17"/>
        <v>11.527179111454169</v>
      </c>
      <c r="BQ22" s="43">
        <f t="shared" si="17"/>
        <v>11.440247395671765</v>
      </c>
      <c r="BR22" s="43">
        <f t="shared" si="17"/>
        <v>12.298193118946685</v>
      </c>
      <c r="BS22" s="43">
        <f t="shared" si="17"/>
        <v>17.19940897865256</v>
      </c>
      <c r="BT22" s="43">
        <f t="shared" si="17"/>
        <v>8.365481513733663</v>
      </c>
      <c r="BU22" s="43">
        <f t="shared" si="17"/>
        <v>9.799678361807569</v>
      </c>
      <c r="BV22" s="43">
        <f t="shared" si="17"/>
        <v>9.131981198696398</v>
      </c>
      <c r="BW22" s="43">
        <f t="shared" si="17"/>
        <v>10.043440777053137</v>
      </c>
      <c r="BX22" s="43">
        <f t="shared" si="17"/>
        <v>12.644390950114056</v>
      </c>
      <c r="BY22" s="43">
        <f t="shared" si="17"/>
        <v>12.987637796408263</v>
      </c>
      <c r="BZ22" s="43"/>
      <c r="CA22" s="43">
        <f t="shared" si="17"/>
        <v>12.712908236170032</v>
      </c>
      <c r="CB22" s="43">
        <f>RATE(15,,-CB83,CB$98)*100</f>
        <v>9.5654047712703</v>
      </c>
      <c r="CC22" s="43">
        <f>RATE(15,,-CC83,CC$98)*100</f>
        <v>12.622192573335392</v>
      </c>
      <c r="CD22" s="43">
        <f>RATE(15,,-CD83,CD$98)*100</f>
        <v>11.502905671647747</v>
      </c>
    </row>
    <row r="23" spans="1:82" ht="18" customHeight="1">
      <c r="A23" s="8" t="s">
        <v>6</v>
      </c>
      <c r="AO23" s="43"/>
      <c r="AP23" s="43"/>
      <c r="AQ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</row>
    <row r="24" spans="1:82" ht="12.75">
      <c r="A24" s="3" t="s">
        <v>12</v>
      </c>
      <c r="B24" s="43">
        <f aca="true" t="shared" si="18" ref="B24:BU24">AVERAGE(B$45:B$69)</f>
        <v>11.421922399999998</v>
      </c>
      <c r="C24" s="43">
        <f t="shared" si="18"/>
        <v>12.1776188</v>
      </c>
      <c r="D24" s="43">
        <f t="shared" si="18"/>
        <v>12.058884</v>
      </c>
      <c r="E24" s="43">
        <f t="shared" si="18"/>
        <v>10.9015972</v>
      </c>
      <c r="F24" s="43">
        <f t="shared" si="18"/>
        <v>11.4138916</v>
      </c>
      <c r="G24" s="43">
        <f t="shared" si="18"/>
        <v>11.888748399999999</v>
      </c>
      <c r="H24" s="43">
        <f t="shared" si="18"/>
        <v>14.873406799999998</v>
      </c>
      <c r="I24" s="43">
        <f t="shared" si="18"/>
        <v>15.465092000000002</v>
      </c>
      <c r="J24" s="43">
        <f t="shared" si="18"/>
        <v>14.0825808</v>
      </c>
      <c r="K24" s="43">
        <f t="shared" si="18"/>
        <v>12.331043599999996</v>
      </c>
      <c r="L24" s="43">
        <f t="shared" si="18"/>
        <v>12.804490399999997</v>
      </c>
      <c r="M24" s="43">
        <f t="shared" si="18"/>
        <v>10.013462800000003</v>
      </c>
      <c r="N24" s="43">
        <f t="shared" si="18"/>
        <v>10.450031199999998</v>
      </c>
      <c r="O24" s="43">
        <f t="shared" si="18"/>
        <v>8.449683599999998</v>
      </c>
      <c r="P24" s="43">
        <f t="shared" si="18"/>
        <v>8.551536800000001</v>
      </c>
      <c r="Q24" s="43">
        <f t="shared" si="18"/>
        <v>9.6458844</v>
      </c>
      <c r="R24" s="43">
        <f t="shared" si="18"/>
        <v>10.753442399999999</v>
      </c>
      <c r="S24" s="43">
        <f t="shared" si="18"/>
        <v>12.657393599999999</v>
      </c>
      <c r="T24" s="43">
        <f t="shared" si="18"/>
        <v>13.316375199999998</v>
      </c>
      <c r="U24" s="43">
        <f t="shared" si="18"/>
        <v>12.2404276</v>
      </c>
      <c r="V24" s="43">
        <f t="shared" si="18"/>
        <v>12.872723200000003</v>
      </c>
      <c r="W24" s="43">
        <f t="shared" si="18"/>
        <v>12.839369999999999</v>
      </c>
      <c r="X24" s="43">
        <f t="shared" si="18"/>
        <v>12.8804548</v>
      </c>
      <c r="Z24" s="43">
        <f t="shared" si="18"/>
        <v>11.539546799999998</v>
      </c>
      <c r="AA24" s="43">
        <f t="shared" si="18"/>
        <v>11.5951936</v>
      </c>
      <c r="AB24" s="43">
        <f t="shared" si="18"/>
        <v>11.888748399999999</v>
      </c>
      <c r="AC24" s="43">
        <f t="shared" si="18"/>
        <v>14.873406799999998</v>
      </c>
      <c r="AD24" s="43">
        <f t="shared" si="18"/>
        <v>9.471202800000002</v>
      </c>
      <c r="AE24" s="43">
        <f t="shared" si="18"/>
        <v>11.3615836</v>
      </c>
      <c r="AF24" s="43">
        <f t="shared" si="18"/>
        <v>8.839085599999999</v>
      </c>
      <c r="AG24" s="43">
        <f t="shared" si="18"/>
        <v>10.6654768</v>
      </c>
      <c r="AH24" s="43">
        <f t="shared" si="18"/>
        <v>12.716309999999998</v>
      </c>
      <c r="AI24" s="43">
        <f t="shared" si="18"/>
        <v>12.740950400000001</v>
      </c>
      <c r="AK24" s="43">
        <f t="shared" si="18"/>
        <v>12.2791708</v>
      </c>
      <c r="AL24" s="43">
        <f t="shared" si="18"/>
        <v>10.019511599999998</v>
      </c>
      <c r="AM24" s="43">
        <f t="shared" si="18"/>
        <v>12.6013456</v>
      </c>
      <c r="AN24" s="43">
        <f t="shared" si="18"/>
        <v>11.202145600000001</v>
      </c>
      <c r="AO24" s="43"/>
      <c r="AP24" s="43"/>
      <c r="AQ24" s="43"/>
      <c r="AR24" s="43">
        <f t="shared" si="18"/>
        <v>11.424422920744005</v>
      </c>
      <c r="AS24" s="43">
        <f t="shared" si="18"/>
        <v>12.69054177337159</v>
      </c>
      <c r="AT24" s="43">
        <f t="shared" si="18"/>
        <v>12.047597507536306</v>
      </c>
      <c r="AU24" s="43">
        <f t="shared" si="18"/>
        <v>10.811997605009346</v>
      </c>
      <c r="AV24" s="43">
        <f t="shared" si="18"/>
        <v>11.358877880458838</v>
      </c>
      <c r="AW24" s="43">
        <f t="shared" si="18"/>
        <v>11.914410714515673</v>
      </c>
      <c r="AX24" s="43">
        <f t="shared" si="18"/>
        <v>14.926534247244318</v>
      </c>
      <c r="AY24" s="43">
        <f t="shared" si="18"/>
        <v>15.529469748791714</v>
      </c>
      <c r="AZ24" s="43">
        <f t="shared" si="18"/>
        <v>14.116670936073222</v>
      </c>
      <c r="BA24" s="43">
        <f t="shared" si="18"/>
        <v>12.36992425032647</v>
      </c>
      <c r="BB24" s="43">
        <f t="shared" si="18"/>
        <v>12.867580109373707</v>
      </c>
      <c r="BC24" s="43">
        <f t="shared" si="18"/>
        <v>10.234631431148843</v>
      </c>
      <c r="BD24" s="43">
        <f t="shared" si="18"/>
        <v>10.772169045784091</v>
      </c>
      <c r="BE24" s="43">
        <f t="shared" si="18"/>
        <v>8.539910657270774</v>
      </c>
      <c r="BF24" s="43">
        <f t="shared" si="18"/>
        <v>8.592239774596138</v>
      </c>
      <c r="BG24" s="43">
        <f t="shared" si="18"/>
        <v>9.665859045373828</v>
      </c>
      <c r="BH24" s="43">
        <f t="shared" si="18"/>
        <v>10.86970538199962</v>
      </c>
      <c r="BI24" s="43">
        <f t="shared" si="18"/>
        <v>12.797121884628892</v>
      </c>
      <c r="BJ24" s="43">
        <f t="shared" si="18"/>
        <v>13.47062393650755</v>
      </c>
      <c r="BK24" s="43">
        <f t="shared" si="18"/>
        <v>12.306996650391566</v>
      </c>
      <c r="BL24" s="43">
        <f t="shared" si="18"/>
        <v>12.984183970513827</v>
      </c>
      <c r="BM24" s="43">
        <f t="shared" si="18"/>
        <v>13.09044767836246</v>
      </c>
      <c r="BN24" s="43">
        <f t="shared" si="18"/>
        <v>12.930828488718976</v>
      </c>
      <c r="BO24" s="43"/>
      <c r="BP24" s="43">
        <f t="shared" si="18"/>
        <v>11.62579271239344</v>
      </c>
      <c r="BQ24" s="43">
        <f t="shared" si="18"/>
        <v>11.562161298225057</v>
      </c>
      <c r="BR24" s="43">
        <f t="shared" si="18"/>
        <v>11.914410714515673</v>
      </c>
      <c r="BS24" s="43">
        <f t="shared" si="18"/>
        <v>14.926534247244318</v>
      </c>
      <c r="BT24" s="43">
        <f t="shared" si="18"/>
        <v>9.52197152607531</v>
      </c>
      <c r="BU24" s="43">
        <f t="shared" si="18"/>
        <v>11.729419991868067</v>
      </c>
      <c r="BV24" s="43">
        <f aca="true" t="shared" si="19" ref="BV24:CD24">AVERAGE(BV$45:BV$69)</f>
        <v>8.95481978277325</v>
      </c>
      <c r="BW24" s="43">
        <f t="shared" si="19"/>
        <v>10.775265583006963</v>
      </c>
      <c r="BX24" s="43">
        <f t="shared" si="19"/>
        <v>12.822836823717147</v>
      </c>
      <c r="BY24" s="43">
        <f t="shared" si="19"/>
        <v>12.972338364578823</v>
      </c>
      <c r="BZ24" s="43"/>
      <c r="CA24" s="43">
        <f t="shared" si="19"/>
        <v>12.310813076746864</v>
      </c>
      <c r="CB24" s="43">
        <f t="shared" si="19"/>
        <v>10.223450028610234</v>
      </c>
      <c r="CC24" s="43">
        <f t="shared" si="19"/>
        <v>12.73282406426133</v>
      </c>
      <c r="CD24" s="43">
        <f t="shared" si="19"/>
        <v>11.322234721481287</v>
      </c>
    </row>
    <row r="25" spans="1:82" ht="12.75">
      <c r="A25" s="3" t="s">
        <v>13</v>
      </c>
      <c r="B25" s="43">
        <f aca="true" t="shared" si="20" ref="B25:BU25">AVERAGE(B$55:B$69)</f>
        <v>10.343259333333332</v>
      </c>
      <c r="C25" s="43">
        <f t="shared" si="20"/>
        <v>11.069990666666666</v>
      </c>
      <c r="D25" s="43">
        <f t="shared" si="20"/>
        <v>11.176220000000002</v>
      </c>
      <c r="E25" s="43">
        <f t="shared" si="20"/>
        <v>9.282188666666668</v>
      </c>
      <c r="F25" s="43">
        <f t="shared" si="20"/>
        <v>10.645361999999999</v>
      </c>
      <c r="G25" s="43">
        <f t="shared" si="20"/>
        <v>11.641852666666667</v>
      </c>
      <c r="H25" s="43">
        <f t="shared" si="20"/>
        <v>17.054693333333333</v>
      </c>
      <c r="I25" s="43">
        <f t="shared" si="20"/>
        <v>17.558676666666667</v>
      </c>
      <c r="J25" s="43">
        <f t="shared" si="20"/>
        <v>16.008914666666662</v>
      </c>
      <c r="K25" s="43">
        <f t="shared" si="20"/>
        <v>13.239334000000001</v>
      </c>
      <c r="L25" s="43">
        <f t="shared" si="20"/>
        <v>14.162530666666667</v>
      </c>
      <c r="M25" s="43">
        <f t="shared" si="20"/>
        <v>8.515113333333334</v>
      </c>
      <c r="N25" s="43">
        <f t="shared" si="20"/>
        <v>8.337418000000001</v>
      </c>
      <c r="O25" s="43">
        <f t="shared" si="20"/>
        <v>8.521446000000001</v>
      </c>
      <c r="P25" s="43">
        <f t="shared" si="20"/>
        <v>8.508991333333332</v>
      </c>
      <c r="Q25" s="43">
        <f t="shared" si="20"/>
        <v>8.990462</v>
      </c>
      <c r="R25" s="43">
        <f t="shared" si="20"/>
        <v>9.834815333333333</v>
      </c>
      <c r="S25" s="43">
        <f t="shared" si="20"/>
        <v>12.298954</v>
      </c>
      <c r="T25" s="43">
        <f t="shared" si="20"/>
        <v>13.171162666666667</v>
      </c>
      <c r="U25" s="43">
        <f t="shared" si="20"/>
        <v>11.883598666666668</v>
      </c>
      <c r="V25" s="43">
        <f t="shared" si="20"/>
        <v>11.746663999999999</v>
      </c>
      <c r="W25" s="43">
        <f t="shared" si="20"/>
        <v>12.791925333333333</v>
      </c>
      <c r="X25" s="43">
        <f t="shared" si="20"/>
        <v>12.473847333333334</v>
      </c>
      <c r="Z25" s="43">
        <f t="shared" si="20"/>
        <v>10.487872000000001</v>
      </c>
      <c r="AA25" s="43">
        <f t="shared" si="20"/>
        <v>11.098428</v>
      </c>
      <c r="AB25" s="43">
        <f t="shared" si="20"/>
        <v>11.641852666666667</v>
      </c>
      <c r="AC25" s="43">
        <f t="shared" si="20"/>
        <v>17.054693333333333</v>
      </c>
      <c r="AD25" s="43">
        <f t="shared" si="20"/>
        <v>7.285972666666665</v>
      </c>
      <c r="AE25" s="43">
        <f t="shared" si="20"/>
        <v>9.028291999999999</v>
      </c>
      <c r="AF25" s="43">
        <f t="shared" si="20"/>
        <v>8.705546000000002</v>
      </c>
      <c r="AG25" s="43">
        <f t="shared" si="20"/>
        <v>9.684558666666668</v>
      </c>
      <c r="AH25" s="43">
        <f t="shared" si="20"/>
        <v>12.196185333333336</v>
      </c>
      <c r="AI25" s="43">
        <f t="shared" si="20"/>
        <v>12.628618000000001</v>
      </c>
      <c r="AK25" s="43">
        <f t="shared" si="20"/>
        <v>12.103691333333334</v>
      </c>
      <c r="AL25" s="43">
        <f t="shared" si="20"/>
        <v>8.526756666666667</v>
      </c>
      <c r="AM25" s="43">
        <f t="shared" si="20"/>
        <v>12.189279333333333</v>
      </c>
      <c r="AN25" s="43">
        <f t="shared" si="20"/>
        <v>10.608778666666668</v>
      </c>
      <c r="AO25" s="43"/>
      <c r="AP25" s="43"/>
      <c r="AQ25" s="43"/>
      <c r="AR25" s="43">
        <f t="shared" si="20"/>
        <v>11.514470382002397</v>
      </c>
      <c r="AS25" s="43">
        <f t="shared" si="20"/>
        <v>13.377260729718648</v>
      </c>
      <c r="AT25" s="43">
        <f t="shared" si="20"/>
        <v>12.693283815229819</v>
      </c>
      <c r="AU25" s="43">
        <f t="shared" si="20"/>
        <v>10.821522155819672</v>
      </c>
      <c r="AV25" s="43">
        <f t="shared" si="20"/>
        <v>11.359936416270239</v>
      </c>
      <c r="AW25" s="43">
        <f t="shared" si="20"/>
        <v>12.532953634929884</v>
      </c>
      <c r="AX25" s="43">
        <f t="shared" si="20"/>
        <v>17.47721200677162</v>
      </c>
      <c r="AY25" s="43">
        <f t="shared" si="20"/>
        <v>18.02510025441584</v>
      </c>
      <c r="AZ25" s="43">
        <f t="shared" si="20"/>
        <v>16.312373087239212</v>
      </c>
      <c r="BA25" s="43">
        <f t="shared" si="20"/>
        <v>13.888763605997504</v>
      </c>
      <c r="BB25" s="43">
        <f t="shared" si="20"/>
        <v>14.617161495424059</v>
      </c>
      <c r="BC25" s="43">
        <f t="shared" si="20"/>
        <v>10.507390693601344</v>
      </c>
      <c r="BD25" s="43">
        <f t="shared" si="20"/>
        <v>11.098630461948447</v>
      </c>
      <c r="BE25" s="43">
        <f t="shared" si="20"/>
        <v>9.485802725078337</v>
      </c>
      <c r="BF25" s="43">
        <f t="shared" si="20"/>
        <v>9.297395329667252</v>
      </c>
      <c r="BG25" s="43">
        <f t="shared" si="20"/>
        <v>9.554887429964317</v>
      </c>
      <c r="BH25" s="43">
        <f t="shared" si="20"/>
        <v>10.463437152688476</v>
      </c>
      <c r="BI25" s="43">
        <f t="shared" si="20"/>
        <v>13.111422433488693</v>
      </c>
      <c r="BJ25" s="43">
        <f t="shared" si="20"/>
        <v>14.071500008303145</v>
      </c>
      <c r="BK25" s="43">
        <f t="shared" si="20"/>
        <v>12.495082466159221</v>
      </c>
      <c r="BL25" s="43">
        <f t="shared" si="20"/>
        <v>12.811597557968035</v>
      </c>
      <c r="BM25" s="43">
        <f t="shared" si="20"/>
        <v>13.560629352913951</v>
      </c>
      <c r="BN25" s="43">
        <f t="shared" si="20"/>
        <v>12.852717269247309</v>
      </c>
      <c r="BO25" s="43"/>
      <c r="BP25" s="43">
        <f t="shared" si="20"/>
        <v>12.003953645005588</v>
      </c>
      <c r="BQ25" s="43">
        <f t="shared" si="20"/>
        <v>11.752548386830705</v>
      </c>
      <c r="BR25" s="43">
        <f t="shared" si="20"/>
        <v>12.532953634929884</v>
      </c>
      <c r="BS25" s="43">
        <f t="shared" si="20"/>
        <v>17.47721200677162</v>
      </c>
      <c r="BT25" s="43">
        <f t="shared" si="20"/>
        <v>9.796398263766145</v>
      </c>
      <c r="BU25" s="43">
        <f t="shared" si="20"/>
        <v>11.70413106479048</v>
      </c>
      <c r="BV25" s="43">
        <f aca="true" t="shared" si="21" ref="BV25:CD25">AVERAGE(BV$55:BV$69)</f>
        <v>9.630050391181388</v>
      </c>
      <c r="BW25" s="43">
        <f t="shared" si="21"/>
        <v>10.282904022081627</v>
      </c>
      <c r="BX25" s="43">
        <f t="shared" si="21"/>
        <v>13.024704826373114</v>
      </c>
      <c r="BY25" s="43">
        <f t="shared" si="21"/>
        <v>13.335897416791502</v>
      </c>
      <c r="BZ25" s="43"/>
      <c r="CA25" s="43">
        <f t="shared" si="21"/>
        <v>13.00596494117391</v>
      </c>
      <c r="CB25" s="43">
        <f t="shared" si="21"/>
        <v>10.476649631729083</v>
      </c>
      <c r="CC25" s="43">
        <f t="shared" si="21"/>
        <v>12.947215746105392</v>
      </c>
      <c r="CD25" s="43">
        <f t="shared" si="21"/>
        <v>11.943720466340455</v>
      </c>
    </row>
    <row r="26" spans="1:82" ht="18" customHeight="1">
      <c r="A26" s="8" t="s">
        <v>8</v>
      </c>
      <c r="AO26" s="43"/>
      <c r="AP26" s="43"/>
      <c r="AQ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</row>
    <row r="27" spans="1:82" ht="12.75">
      <c r="A27" s="3" t="s">
        <v>12</v>
      </c>
      <c r="B27" s="43">
        <f aca="true" t="shared" si="22" ref="B27:BU27">STDEV(B$45:B$69)</f>
        <v>7.884458077040068</v>
      </c>
      <c r="C27" s="43">
        <f t="shared" si="22"/>
        <v>10.687632058820494</v>
      </c>
      <c r="D27" s="43">
        <f t="shared" si="22"/>
        <v>8.45002141561142</v>
      </c>
      <c r="E27" s="43">
        <f t="shared" si="22"/>
        <v>8.51410452154909</v>
      </c>
      <c r="F27" s="43">
        <f t="shared" si="22"/>
        <v>7.244399619244214</v>
      </c>
      <c r="G27" s="43">
        <f t="shared" si="22"/>
        <v>6.395270106200022</v>
      </c>
      <c r="H27" s="43">
        <f t="shared" si="22"/>
        <v>8.602587695165585</v>
      </c>
      <c r="I27" s="43">
        <f t="shared" si="22"/>
        <v>8.883635312283474</v>
      </c>
      <c r="J27" s="43">
        <f t="shared" si="22"/>
        <v>8.360318488818631</v>
      </c>
      <c r="K27" s="43">
        <f t="shared" si="22"/>
        <v>6.5645893505077</v>
      </c>
      <c r="L27" s="43">
        <f t="shared" si="22"/>
        <v>6.475380211371434</v>
      </c>
      <c r="M27" s="43">
        <f t="shared" si="22"/>
        <v>10.39334617795664</v>
      </c>
      <c r="N27" s="43">
        <f t="shared" si="22"/>
        <v>12.482455883202405</v>
      </c>
      <c r="O27" s="43">
        <f t="shared" si="22"/>
        <v>9.539912289601114</v>
      </c>
      <c r="P27" s="43">
        <f t="shared" si="22"/>
        <v>8.636052484466266</v>
      </c>
      <c r="Q27" s="43">
        <f t="shared" si="22"/>
        <v>8.295226813843549</v>
      </c>
      <c r="R27" s="43">
        <f t="shared" si="22"/>
        <v>8.2539667759969</v>
      </c>
      <c r="S27" s="43">
        <f t="shared" si="22"/>
        <v>9.32811923503245</v>
      </c>
      <c r="T27" s="43">
        <f t="shared" si="22"/>
        <v>9.597734089935031</v>
      </c>
      <c r="U27" s="43">
        <f t="shared" si="22"/>
        <v>9.183721780014842</v>
      </c>
      <c r="V27" s="43">
        <f t="shared" si="22"/>
        <v>10.559040067835916</v>
      </c>
      <c r="W27" s="43">
        <f t="shared" si="22"/>
        <v>8.955669755585008</v>
      </c>
      <c r="X27" s="43">
        <f t="shared" si="22"/>
        <v>8.780804548531854</v>
      </c>
      <c r="Z27" s="43">
        <f t="shared" si="22"/>
        <v>8.243316731274254</v>
      </c>
      <c r="AA27" s="43">
        <f t="shared" si="22"/>
        <v>6.999877896116521</v>
      </c>
      <c r="AB27" s="43">
        <f t="shared" si="22"/>
        <v>6.395270106200022</v>
      </c>
      <c r="AC27" s="43">
        <f t="shared" si="22"/>
        <v>8.602587695165585</v>
      </c>
      <c r="AD27" s="43">
        <f t="shared" si="22"/>
        <v>11.989437059207056</v>
      </c>
      <c r="AE27" s="43">
        <f t="shared" si="22"/>
        <v>13.640343037176487</v>
      </c>
      <c r="AF27" s="43">
        <f t="shared" si="22"/>
        <v>9.157429996298125</v>
      </c>
      <c r="AG27" s="43">
        <f t="shared" si="22"/>
        <v>8.220782207013372</v>
      </c>
      <c r="AH27" s="43">
        <f t="shared" si="22"/>
        <v>9.59229306219408</v>
      </c>
      <c r="AI27" s="43">
        <f t="shared" si="22"/>
        <v>8.920986308876989</v>
      </c>
      <c r="AK27" s="43">
        <f t="shared" si="22"/>
        <v>7.14808217580301</v>
      </c>
      <c r="AL27" s="43">
        <f t="shared" si="22"/>
        <v>10.33043516048319</v>
      </c>
      <c r="AM27" s="43">
        <f t="shared" si="22"/>
        <v>9.231998675085691</v>
      </c>
      <c r="AN27" s="43">
        <f t="shared" si="22"/>
        <v>8.412227603059966</v>
      </c>
      <c r="AO27" s="43"/>
      <c r="AP27" s="43"/>
      <c r="AQ27" s="43"/>
      <c r="AR27" s="43">
        <f t="shared" si="22"/>
        <v>11.766306277522405</v>
      </c>
      <c r="AS27" s="43">
        <f t="shared" si="22"/>
        <v>19.044863348160163</v>
      </c>
      <c r="AT27" s="43">
        <f t="shared" si="22"/>
        <v>13.183312546038094</v>
      </c>
      <c r="AU27" s="43">
        <f t="shared" si="22"/>
        <v>13.390755872529125</v>
      </c>
      <c r="AV27" s="43">
        <f t="shared" si="22"/>
        <v>9.773486977914759</v>
      </c>
      <c r="AW27" s="43">
        <f t="shared" si="22"/>
        <v>9.35614031133906</v>
      </c>
      <c r="AX27" s="43">
        <f t="shared" si="22"/>
        <v>10.071936612815133</v>
      </c>
      <c r="AY27" s="43">
        <f t="shared" si="22"/>
        <v>10.507411340836535</v>
      </c>
      <c r="AZ27" s="43">
        <f t="shared" si="22"/>
        <v>9.450076539347023</v>
      </c>
      <c r="BA27" s="43">
        <f t="shared" si="22"/>
        <v>8.779603424048648</v>
      </c>
      <c r="BB27" s="43">
        <f t="shared" si="22"/>
        <v>7.853702263991996</v>
      </c>
      <c r="BC27" s="43">
        <f t="shared" si="22"/>
        <v>17.802173461199782</v>
      </c>
      <c r="BD27" s="43">
        <f t="shared" si="22"/>
        <v>23.00156077528314</v>
      </c>
      <c r="BE27" s="43">
        <f t="shared" si="22"/>
        <v>13.986681200655969</v>
      </c>
      <c r="BF27" s="43">
        <f t="shared" si="22"/>
        <v>11.61879398121625</v>
      </c>
      <c r="BG27" s="43">
        <f t="shared" si="22"/>
        <v>10.653378136945284</v>
      </c>
      <c r="BH27" s="43">
        <f t="shared" si="22"/>
        <v>11.641782117904071</v>
      </c>
      <c r="BI27" s="43">
        <f t="shared" si="22"/>
        <v>13.50933834283175</v>
      </c>
      <c r="BJ27" s="43">
        <f t="shared" si="22"/>
        <v>14.174187938421321</v>
      </c>
      <c r="BK27" s="43">
        <f t="shared" si="22"/>
        <v>11.944339396637774</v>
      </c>
      <c r="BL27" s="43">
        <f t="shared" si="22"/>
        <v>16.486438026227134</v>
      </c>
      <c r="BM27" s="43">
        <f t="shared" si="22"/>
        <v>13.939810396940604</v>
      </c>
      <c r="BN27" s="43">
        <f t="shared" si="22"/>
        <v>11.284277599017924</v>
      </c>
      <c r="BO27" s="43"/>
      <c r="BP27" s="43">
        <f t="shared" si="22"/>
        <v>12.994628279039754</v>
      </c>
      <c r="BQ27" s="43">
        <f t="shared" si="22"/>
        <v>9.29596434944628</v>
      </c>
      <c r="BR27" s="43">
        <f t="shared" si="22"/>
        <v>9.35614031133906</v>
      </c>
      <c r="BS27" s="43">
        <f t="shared" si="22"/>
        <v>10.071936612815133</v>
      </c>
      <c r="BT27" s="43">
        <f t="shared" si="22"/>
        <v>21.882963227195567</v>
      </c>
      <c r="BU27" s="43">
        <f t="shared" si="22"/>
        <v>25.081749792651543</v>
      </c>
      <c r="BV27" s="43">
        <f aca="true" t="shared" si="23" ref="BV27:CD27">STDEV(BV$45:BV$69)</f>
        <v>12.750392523549529</v>
      </c>
      <c r="BW27" s="43">
        <f t="shared" si="23"/>
        <v>11.440202597566993</v>
      </c>
      <c r="BX27" s="43">
        <f t="shared" si="23"/>
        <v>13.707710688290328</v>
      </c>
      <c r="BY27" s="43">
        <f t="shared" si="23"/>
        <v>13.592126425299362</v>
      </c>
      <c r="BZ27" s="43"/>
      <c r="CA27" s="43">
        <f t="shared" si="23"/>
        <v>10.046417274091663</v>
      </c>
      <c r="CB27" s="43">
        <f t="shared" si="23"/>
        <v>17.645731774167835</v>
      </c>
      <c r="CC27" s="43">
        <f t="shared" si="23"/>
        <v>13.183869487753416</v>
      </c>
      <c r="CD27" s="43">
        <f t="shared" si="23"/>
        <v>13.1474585921725</v>
      </c>
    </row>
    <row r="28" spans="1:82" ht="12.75">
      <c r="A28" s="3" t="s">
        <v>13</v>
      </c>
      <c r="B28" s="43">
        <f aca="true" t="shared" si="24" ref="B28:BU28">STDEV(B$55:B$69)</f>
        <v>6.894928144822383</v>
      </c>
      <c r="C28" s="43">
        <f t="shared" si="24"/>
        <v>8.884569827499867</v>
      </c>
      <c r="D28" s="43">
        <f t="shared" si="24"/>
        <v>7.336615039614652</v>
      </c>
      <c r="E28" s="43">
        <f t="shared" si="24"/>
        <v>7.603518598689183</v>
      </c>
      <c r="F28" s="43">
        <f t="shared" si="24"/>
        <v>6.7423506574839545</v>
      </c>
      <c r="G28" s="43">
        <f t="shared" si="24"/>
        <v>5.4721760135153135</v>
      </c>
      <c r="H28" s="43">
        <f t="shared" si="24"/>
        <v>7.18145446685883</v>
      </c>
      <c r="I28" s="43">
        <f t="shared" si="24"/>
        <v>7.320377420367318</v>
      </c>
      <c r="J28" s="43">
        <f t="shared" si="24"/>
        <v>7.181679281421461</v>
      </c>
      <c r="K28" s="43">
        <f t="shared" si="24"/>
        <v>5.775439986381741</v>
      </c>
      <c r="L28" s="43">
        <f t="shared" si="24"/>
        <v>6.451839299369782</v>
      </c>
      <c r="M28" s="43">
        <f t="shared" si="24"/>
        <v>9.117580563159809</v>
      </c>
      <c r="N28" s="43">
        <f t="shared" si="24"/>
        <v>11.118375921510813</v>
      </c>
      <c r="O28" s="43">
        <f t="shared" si="24"/>
        <v>7.9098121511673245</v>
      </c>
      <c r="P28" s="43">
        <f t="shared" si="24"/>
        <v>8.066017689350328</v>
      </c>
      <c r="Q28" s="43">
        <f t="shared" si="24"/>
        <v>6.439473776842771</v>
      </c>
      <c r="R28" s="43">
        <f t="shared" si="24"/>
        <v>5.5309976119255975</v>
      </c>
      <c r="S28" s="43">
        <f t="shared" si="24"/>
        <v>5.641221240995101</v>
      </c>
      <c r="T28" s="43">
        <f t="shared" si="24"/>
        <v>6.512346700091479</v>
      </c>
      <c r="U28" s="43">
        <f t="shared" si="24"/>
        <v>6.694688676150952</v>
      </c>
      <c r="V28" s="43">
        <f t="shared" si="24"/>
        <v>5.992617480179616</v>
      </c>
      <c r="W28" s="43">
        <f t="shared" si="24"/>
        <v>4.717410607522897</v>
      </c>
      <c r="X28" s="43">
        <f t="shared" si="24"/>
        <v>6.40840237457319</v>
      </c>
      <c r="Z28" s="43">
        <f t="shared" si="24"/>
        <v>7.033360665188238</v>
      </c>
      <c r="AA28" s="43">
        <f t="shared" si="24"/>
        <v>6.5136824113040275</v>
      </c>
      <c r="AB28" s="43">
        <f t="shared" si="24"/>
        <v>5.4721760135153135</v>
      </c>
      <c r="AC28" s="43">
        <f t="shared" si="24"/>
        <v>7.18145446685883</v>
      </c>
      <c r="AD28" s="43">
        <f t="shared" si="24"/>
        <v>10.247926286260112</v>
      </c>
      <c r="AE28" s="43">
        <f t="shared" si="24"/>
        <v>11.799591593542067</v>
      </c>
      <c r="AF28" s="43">
        <f t="shared" si="24"/>
        <v>8.038949292586864</v>
      </c>
      <c r="AG28" s="43">
        <f t="shared" si="24"/>
        <v>5.415382011708955</v>
      </c>
      <c r="AH28" s="43">
        <f t="shared" si="24"/>
        <v>6.247780229493928</v>
      </c>
      <c r="AI28" s="43">
        <f t="shared" si="24"/>
        <v>4.966866010255503</v>
      </c>
      <c r="AK28" s="43">
        <f t="shared" si="24"/>
        <v>6.185194257926243</v>
      </c>
      <c r="AL28" s="43">
        <f t="shared" si="24"/>
        <v>9.014212839210934</v>
      </c>
      <c r="AM28" s="43">
        <f t="shared" si="24"/>
        <v>5.530045246958354</v>
      </c>
      <c r="AN28" s="43">
        <f t="shared" si="24"/>
        <v>6.982165116508186</v>
      </c>
      <c r="AO28" s="43"/>
      <c r="AP28" s="43"/>
      <c r="AQ28" s="43"/>
      <c r="AR28" s="43">
        <f t="shared" si="24"/>
        <v>10.208429525764457</v>
      </c>
      <c r="AS28" s="43">
        <f t="shared" si="24"/>
        <v>15.276568319085209</v>
      </c>
      <c r="AT28" s="43">
        <f t="shared" si="24"/>
        <v>11.147375927210408</v>
      </c>
      <c r="AU28" s="43">
        <f t="shared" si="24"/>
        <v>12.131741142111752</v>
      </c>
      <c r="AV28" s="43">
        <f t="shared" si="24"/>
        <v>9.161362791062869</v>
      </c>
      <c r="AW28" s="43">
        <f t="shared" si="24"/>
        <v>7.4666425857714325</v>
      </c>
      <c r="AX28" s="43">
        <f t="shared" si="24"/>
        <v>8.52939288632164</v>
      </c>
      <c r="AY28" s="43">
        <f t="shared" si="24"/>
        <v>8.795279877584752</v>
      </c>
      <c r="AZ28" s="43">
        <f t="shared" si="24"/>
        <v>8.199229146935979</v>
      </c>
      <c r="BA28" s="43">
        <f t="shared" si="24"/>
        <v>7.59794372115093</v>
      </c>
      <c r="BB28" s="43">
        <f t="shared" si="24"/>
        <v>7.804967871246285</v>
      </c>
      <c r="BC28" s="43">
        <f t="shared" si="24"/>
        <v>15.18818873428974</v>
      </c>
      <c r="BD28" s="43">
        <f t="shared" si="24"/>
        <v>20.336478343471263</v>
      </c>
      <c r="BE28" s="43">
        <f t="shared" si="24"/>
        <v>11.235109041264016</v>
      </c>
      <c r="BF28" s="43">
        <f t="shared" si="24"/>
        <v>10.380984513374157</v>
      </c>
      <c r="BG28" s="43">
        <f t="shared" si="24"/>
        <v>7.947155581462735</v>
      </c>
      <c r="BH28" s="43">
        <f t="shared" si="24"/>
        <v>7.716678680472396</v>
      </c>
      <c r="BI28" s="43">
        <f t="shared" si="24"/>
        <v>8.981986046136253</v>
      </c>
      <c r="BJ28" s="43">
        <f t="shared" si="24"/>
        <v>10.130396365180069</v>
      </c>
      <c r="BK28" s="43">
        <f t="shared" si="24"/>
        <v>8.912315987264842</v>
      </c>
      <c r="BL28" s="43">
        <f t="shared" si="24"/>
        <v>10.180071963796602</v>
      </c>
      <c r="BM28" s="43">
        <f t="shared" si="24"/>
        <v>9.040858928641955</v>
      </c>
      <c r="BN28" s="43">
        <f t="shared" si="24"/>
        <v>9.061475030728344</v>
      </c>
      <c r="BO28" s="43"/>
      <c r="BP28" s="43">
        <f t="shared" si="24"/>
        <v>10.74765673467642</v>
      </c>
      <c r="BQ28" s="43">
        <f t="shared" si="24"/>
        <v>8.654884030062588</v>
      </c>
      <c r="BR28" s="43">
        <f t="shared" si="24"/>
        <v>7.4666425857714325</v>
      </c>
      <c r="BS28" s="43">
        <f t="shared" si="24"/>
        <v>8.52939288632164</v>
      </c>
      <c r="BT28" s="43">
        <f t="shared" si="24"/>
        <v>18.58253475013122</v>
      </c>
      <c r="BU28" s="43">
        <f t="shared" si="24"/>
        <v>21.482076777972544</v>
      </c>
      <c r="BV28" s="43">
        <f aca="true" t="shared" si="25" ref="BV28:CD28">STDEV(BV$55:BV$69)</f>
        <v>10.83075662560149</v>
      </c>
      <c r="BW28" s="43">
        <f t="shared" si="25"/>
        <v>7.555618764594377</v>
      </c>
      <c r="BX28" s="43">
        <f t="shared" si="25"/>
        <v>9.498888828723983</v>
      </c>
      <c r="BY28" s="43">
        <f t="shared" si="25"/>
        <v>9.262559491086181</v>
      </c>
      <c r="BZ28" s="43"/>
      <c r="CA28" s="43">
        <f t="shared" si="25"/>
        <v>8.442322589997216</v>
      </c>
      <c r="CB28" s="43">
        <f t="shared" si="25"/>
        <v>14.982915559909909</v>
      </c>
      <c r="CC28" s="43">
        <f t="shared" si="25"/>
        <v>8.836375125652015</v>
      </c>
      <c r="CD28" s="43">
        <f t="shared" si="25"/>
        <v>10.441264004635558</v>
      </c>
    </row>
    <row r="29" spans="1:82" ht="18" customHeight="1">
      <c r="A29" s="9" t="s">
        <v>17</v>
      </c>
      <c r="AO29" s="43"/>
      <c r="AP29" s="43"/>
      <c r="AQ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</row>
    <row r="30" spans="1:82" ht="12.75">
      <c r="A30" s="3" t="s">
        <v>12</v>
      </c>
      <c r="B30" s="44">
        <f>CORREL(B46:B69,B45:B68)</f>
        <v>0.38923937510646733</v>
      </c>
      <c r="C30" s="44">
        <f>CORREL(C46:C69,C45:C68)</f>
        <v>0.5213410817002887</v>
      </c>
      <c r="D30" s="44">
        <f>CORREL(D46:D69,D45:D68)</f>
        <v>0.42861466605393206</v>
      </c>
      <c r="E30" s="44">
        <f>CORREL(E46:E69,E45:E68)</f>
        <v>0.4427846396957985</v>
      </c>
      <c r="F30" s="44">
        <f aca="true" t="shared" si="26" ref="F30:AK30">CORREL(F46:F69,F45:F68)</f>
        <v>0.30533709178709156</v>
      </c>
      <c r="G30" s="44">
        <f t="shared" si="26"/>
        <v>0.3660819659050262</v>
      </c>
      <c r="H30" s="44">
        <f t="shared" si="26"/>
        <v>0.15641239234087698</v>
      </c>
      <c r="I30" s="44">
        <f t="shared" si="26"/>
        <v>0.16664800459495535</v>
      </c>
      <c r="J30" s="44">
        <f t="shared" si="26"/>
        <v>0.12199406626768737</v>
      </c>
      <c r="K30" s="44">
        <f t="shared" si="26"/>
        <v>0.28492540607199995</v>
      </c>
      <c r="L30" s="44">
        <f t="shared" si="26"/>
        <v>0.1929454473657577</v>
      </c>
      <c r="M30" s="44">
        <f t="shared" si="26"/>
        <v>0.494188474647891</v>
      </c>
      <c r="N30" s="44">
        <f t="shared" si="26"/>
        <v>0.5469320236066681</v>
      </c>
      <c r="O30" s="44">
        <f t="shared" si="26"/>
        <v>0.36919675943436436</v>
      </c>
      <c r="P30" s="44">
        <f t="shared" si="26"/>
        <v>0.29374224785356456</v>
      </c>
      <c r="Q30" s="44">
        <f t="shared" si="26"/>
        <v>0.24977721640517858</v>
      </c>
      <c r="R30" s="44">
        <f t="shared" si="26"/>
        <v>0.33146910644255884</v>
      </c>
      <c r="S30" s="44">
        <f t="shared" si="26"/>
        <v>0.3543249449671558</v>
      </c>
      <c r="T30" s="44">
        <f t="shared" si="26"/>
        <v>0.3713262123602428</v>
      </c>
      <c r="U30" s="44">
        <f t="shared" si="26"/>
        <v>0.25700445697307894</v>
      </c>
      <c r="V30" s="44">
        <f t="shared" si="26"/>
        <v>0.41853835856808586</v>
      </c>
      <c r="W30" s="44">
        <f t="shared" si="26"/>
        <v>0.41704756141092425</v>
      </c>
      <c r="X30" s="44">
        <f t="shared" si="26"/>
        <v>0.24610745120507704</v>
      </c>
      <c r="Z30" s="44">
        <f t="shared" si="26"/>
        <v>0.4318637270890413</v>
      </c>
      <c r="AA30" s="44">
        <f t="shared" si="26"/>
        <v>0.2875877592135416</v>
      </c>
      <c r="AB30" s="44">
        <f t="shared" si="26"/>
        <v>0.3660819659050262</v>
      </c>
      <c r="AC30" s="44">
        <f t="shared" si="26"/>
        <v>0.15641239234087698</v>
      </c>
      <c r="AD30" s="44">
        <f t="shared" si="26"/>
        <v>0.5417438463953508</v>
      </c>
      <c r="AE30" s="44">
        <f t="shared" si="26"/>
        <v>0.5446684578098064</v>
      </c>
      <c r="AF30" s="44">
        <f t="shared" si="26"/>
        <v>0.32287346801849026</v>
      </c>
      <c r="AG30" s="44">
        <f t="shared" si="26"/>
        <v>0.319503422458952</v>
      </c>
      <c r="AH30" s="44">
        <f t="shared" si="26"/>
        <v>0.34262117242516416</v>
      </c>
      <c r="AI30" s="44">
        <f t="shared" si="26"/>
        <v>0.39901936622734185</v>
      </c>
      <c r="AK30" s="44">
        <f t="shared" si="26"/>
        <v>0.33268061374019253</v>
      </c>
      <c r="AL30" s="44">
        <f>CORREL(AL46:AL69,AL45:AL68)</f>
        <v>0.49212700356264294</v>
      </c>
      <c r="AM30" s="44">
        <f>CORREL(AM46:AM69,AM45:AM68)</f>
        <v>0.3419796200965695</v>
      </c>
      <c r="AN30" s="44">
        <f>CORREL(AN46:AN69,AN45:AN68)</f>
        <v>0.42126198673391024</v>
      </c>
      <c r="AO30" s="44"/>
      <c r="AP30" s="44"/>
      <c r="AQ30" s="44"/>
      <c r="AR30" s="44">
        <f aca="true" t="shared" si="27" ref="AR30:CA30">CORREL(AR46:AR69,AR45:AR68)</f>
        <v>0.13973285549610484</v>
      </c>
      <c r="AS30" s="44">
        <f t="shared" si="27"/>
        <v>0.2588238784241825</v>
      </c>
      <c r="AT30" s="44">
        <f t="shared" si="27"/>
        <v>0.12150592639516364</v>
      </c>
      <c r="AU30" s="44">
        <f t="shared" si="27"/>
        <v>0.09995656041017173</v>
      </c>
      <c r="AV30" s="44">
        <f t="shared" si="27"/>
        <v>0.09807845186548624</v>
      </c>
      <c r="AW30" s="44">
        <f t="shared" si="27"/>
        <v>0.16284422112702823</v>
      </c>
      <c r="AX30" s="44">
        <f t="shared" si="27"/>
        <v>0.047509734614115715</v>
      </c>
      <c r="AY30" s="44">
        <f t="shared" si="27"/>
        <v>0.04465701653474104</v>
      </c>
      <c r="AZ30" s="44">
        <f t="shared" si="27"/>
        <v>0.04357245482136026</v>
      </c>
      <c r="BA30" s="44">
        <f t="shared" si="27"/>
        <v>0.11351373860382752</v>
      </c>
      <c r="BB30" s="44">
        <f t="shared" si="27"/>
        <v>0.03751369500341596</v>
      </c>
      <c r="BC30" s="44">
        <f t="shared" si="27"/>
        <v>0.30714888108186666</v>
      </c>
      <c r="BD30" s="44">
        <f t="shared" si="27"/>
        <v>0.3493748357031644</v>
      </c>
      <c r="BE30" s="44">
        <f t="shared" si="27"/>
        <v>0.1920494552589893</v>
      </c>
      <c r="BF30" s="44">
        <f t="shared" si="27"/>
        <v>0.1418100991463355</v>
      </c>
      <c r="BG30" s="44">
        <f t="shared" si="27"/>
        <v>0.1072671483813434</v>
      </c>
      <c r="BH30" s="44">
        <f t="shared" si="27"/>
        <v>0.12691410296764044</v>
      </c>
      <c r="BI30" s="44">
        <f t="shared" si="27"/>
        <v>0.11617555202289274</v>
      </c>
      <c r="BJ30" s="44">
        <f t="shared" si="27"/>
        <v>0.12556706979067703</v>
      </c>
      <c r="BK30" s="44">
        <f t="shared" si="27"/>
        <v>0.07263779907988253</v>
      </c>
      <c r="BL30" s="44">
        <f t="shared" si="27"/>
        <v>0.15487297626801413</v>
      </c>
      <c r="BM30" s="44">
        <f t="shared" si="27"/>
        <v>0.11192558212035296</v>
      </c>
      <c r="BN30" s="44">
        <f t="shared" si="27"/>
        <v>0.04796200276973048</v>
      </c>
      <c r="BO30" s="44"/>
      <c r="BP30" s="44">
        <f t="shared" si="27"/>
        <v>0.16601104355745494</v>
      </c>
      <c r="BQ30" s="44">
        <f t="shared" si="27"/>
        <v>0.09712587924787952</v>
      </c>
      <c r="BR30" s="44">
        <f t="shared" si="27"/>
        <v>0.16284422112702823</v>
      </c>
      <c r="BS30" s="44">
        <f t="shared" si="27"/>
        <v>0.047509734614115715</v>
      </c>
      <c r="BT30" s="44">
        <f t="shared" si="27"/>
        <v>0.29690458117233426</v>
      </c>
      <c r="BU30" s="44">
        <f t="shared" si="27"/>
        <v>0.3586074669102877</v>
      </c>
      <c r="BV30" s="44">
        <f t="shared" si="27"/>
        <v>0.16247970654951724</v>
      </c>
      <c r="BW30" s="44">
        <f t="shared" si="27"/>
        <v>0.1293484476629434</v>
      </c>
      <c r="BX30" s="44">
        <f t="shared" si="27"/>
        <v>0.11290412712627748</v>
      </c>
      <c r="BY30" s="44">
        <f t="shared" si="27"/>
        <v>0.09449126069858443</v>
      </c>
      <c r="BZ30" s="44"/>
      <c r="CA30" s="44">
        <f t="shared" si="27"/>
        <v>0.1320746538439062</v>
      </c>
      <c r="CB30" s="44">
        <f>CORREL(CB46:CB69,CB45:CB68)</f>
        <v>0.2997557129498161</v>
      </c>
      <c r="CC30" s="44">
        <f>CORREL(CC46:CC69,CC45:CC68)</f>
        <v>0.10931374454293083</v>
      </c>
      <c r="CD30" s="44">
        <f>CORREL(CD46:CD69,CD45:CD68)</f>
        <v>0.21895726030540874</v>
      </c>
    </row>
    <row r="31" spans="1:82" ht="12.75">
      <c r="A31" s="3" t="s">
        <v>13</v>
      </c>
      <c r="B31" s="44">
        <f>CORREL(B56:B69,B55:B68)</f>
        <v>0.28310261103442874</v>
      </c>
      <c r="C31" s="44">
        <f>CORREL(C56:C69,C55:C68)</f>
        <v>0.38066947331000905</v>
      </c>
      <c r="D31" s="44">
        <f>CORREL(D56:D69,D55:D68)</f>
        <v>0.39181541374919937</v>
      </c>
      <c r="E31" s="44">
        <f>CORREL(E56:E69,E55:E68)</f>
        <v>0.3717234793945819</v>
      </c>
      <c r="F31" s="44">
        <f aca="true" t="shared" si="28" ref="F31:AK31">CORREL(F56:F69,F55:F68)</f>
        <v>0.2431202013969075</v>
      </c>
      <c r="G31" s="44">
        <f t="shared" si="28"/>
        <v>0.3019905090955818</v>
      </c>
      <c r="H31" s="44">
        <f t="shared" si="28"/>
        <v>0.03533993956531997</v>
      </c>
      <c r="I31" s="44">
        <f t="shared" si="28"/>
        <v>0.04401094571408663</v>
      </c>
      <c r="J31" s="44">
        <f t="shared" si="28"/>
        <v>0.017611739495574194</v>
      </c>
      <c r="K31" s="44">
        <f t="shared" si="28"/>
        <v>0.22594031574743081</v>
      </c>
      <c r="L31" s="44">
        <f t="shared" si="28"/>
        <v>0.17160712588271526</v>
      </c>
      <c r="M31" s="44">
        <f t="shared" si="28"/>
        <v>0.36219508341399986</v>
      </c>
      <c r="N31" s="44">
        <f t="shared" si="28"/>
        <v>0.4086202088320669</v>
      </c>
      <c r="O31" s="44">
        <f t="shared" si="28"/>
        <v>0.3351426382734056</v>
      </c>
      <c r="P31" s="44">
        <f t="shared" si="28"/>
        <v>0.2373012271201568</v>
      </c>
      <c r="Q31" s="44">
        <f t="shared" si="28"/>
        <v>0.22587048727724343</v>
      </c>
      <c r="R31" s="44">
        <f t="shared" si="28"/>
        <v>0.2764696834771391</v>
      </c>
      <c r="S31" s="44">
        <f t="shared" si="28"/>
        <v>0.04947468687062336</v>
      </c>
      <c r="T31" s="44">
        <f t="shared" si="28"/>
        <v>0.16542354186261496</v>
      </c>
      <c r="U31" s="44">
        <f t="shared" si="28"/>
        <v>0.0794665244478286</v>
      </c>
      <c r="V31" s="44">
        <f t="shared" si="28"/>
        <v>0.1865985640715369</v>
      </c>
      <c r="W31" s="44">
        <f t="shared" si="28"/>
        <v>-0.019825629475062608</v>
      </c>
      <c r="X31" s="44">
        <f t="shared" si="28"/>
        <v>-0.12489162531506723</v>
      </c>
      <c r="Z31" s="44">
        <f t="shared" si="28"/>
        <v>0.32390143806424004</v>
      </c>
      <c r="AA31" s="44">
        <f t="shared" si="28"/>
        <v>0.2377433243742824</v>
      </c>
      <c r="AB31" s="44">
        <f t="shared" si="28"/>
        <v>0.3019905090955818</v>
      </c>
      <c r="AC31" s="44">
        <f t="shared" si="28"/>
        <v>0.03533993956531997</v>
      </c>
      <c r="AD31" s="44">
        <f t="shared" si="28"/>
        <v>0.35580453467795903</v>
      </c>
      <c r="AE31" s="44">
        <f t="shared" si="28"/>
        <v>0.44053477418307796</v>
      </c>
      <c r="AF31" s="44">
        <f t="shared" si="28"/>
        <v>0.26596285026665734</v>
      </c>
      <c r="AG31" s="44">
        <f t="shared" si="28"/>
        <v>0.21474240570831232</v>
      </c>
      <c r="AH31" s="44">
        <f t="shared" si="28"/>
        <v>0.1002172534459427</v>
      </c>
      <c r="AI31" s="44">
        <f t="shared" si="28"/>
        <v>-0.05163954600989392</v>
      </c>
      <c r="AK31" s="44">
        <f t="shared" si="28"/>
        <v>0.2247668694610017</v>
      </c>
      <c r="AL31" s="44">
        <f>CORREL(AL56:AL69,AL55:AL68)</f>
        <v>0.3588792738331349</v>
      </c>
      <c r="AM31" s="44">
        <f>CORREL(AM56:AM69,AM55:AM68)</f>
        <v>-0.024292178188032375</v>
      </c>
      <c r="AN31" s="44">
        <f>CORREL(AN56:AN69,AN55:AN68)</f>
        <v>0.26886849846853206</v>
      </c>
      <c r="AO31" s="44"/>
      <c r="AP31" s="44"/>
      <c r="AQ31" s="44"/>
      <c r="AR31" s="44">
        <f aca="true" t="shared" si="29" ref="AR31:CA31">CORREL(AR56:AR69,AR55:AR68)</f>
        <v>-0.06394161320139698</v>
      </c>
      <c r="AS31" s="44">
        <f t="shared" si="29"/>
        <v>-0.0872133148740115</v>
      </c>
      <c r="AT31" s="44">
        <f t="shared" si="29"/>
        <v>-0.0870697105560867</v>
      </c>
      <c r="AU31" s="44">
        <f t="shared" si="29"/>
        <v>-0.05787773839541673</v>
      </c>
      <c r="AV31" s="44">
        <f t="shared" si="29"/>
        <v>-0.002129924563803508</v>
      </c>
      <c r="AW31" s="44">
        <f t="shared" si="29"/>
        <v>-0.020132623664911958</v>
      </c>
      <c r="AX31" s="44">
        <f t="shared" si="29"/>
        <v>-0.08183951474551547</v>
      </c>
      <c r="AY31" s="44">
        <f t="shared" si="29"/>
        <v>-0.07882510629109678</v>
      </c>
      <c r="AZ31" s="44">
        <f t="shared" si="29"/>
        <v>-0.07008715297153692</v>
      </c>
      <c r="BA31" s="44">
        <f t="shared" si="29"/>
        <v>-0.014653688452236246</v>
      </c>
      <c r="BB31" s="44">
        <f t="shared" si="29"/>
        <v>-0.00843615588016881</v>
      </c>
      <c r="BC31" s="44">
        <f t="shared" si="29"/>
        <v>-0.00742071281051003</v>
      </c>
      <c r="BD31" s="44">
        <f t="shared" si="29"/>
        <v>0.016939231542497542</v>
      </c>
      <c r="BE31" s="44">
        <f t="shared" si="29"/>
        <v>0.011152897272366038</v>
      </c>
      <c r="BF31" s="44">
        <f t="shared" si="29"/>
        <v>-0.042240629374957255</v>
      </c>
      <c r="BG31" s="44">
        <f t="shared" si="29"/>
        <v>-0.03688645412921451</v>
      </c>
      <c r="BH31" s="44">
        <f t="shared" si="29"/>
        <v>-0.0024315245589267387</v>
      </c>
      <c r="BI31" s="44">
        <f t="shared" si="29"/>
        <v>-0.29082518479466296</v>
      </c>
      <c r="BJ31" s="44">
        <f t="shared" si="29"/>
        <v>-0.24529577434056996</v>
      </c>
      <c r="BK31" s="44">
        <f t="shared" si="29"/>
        <v>-0.21539536184039013</v>
      </c>
      <c r="BL31" s="44">
        <f t="shared" si="29"/>
        <v>-0.268013524997219</v>
      </c>
      <c r="BM31" s="44">
        <f t="shared" si="29"/>
        <v>-0.2860528928605776</v>
      </c>
      <c r="BN31" s="44">
        <f t="shared" si="29"/>
        <v>-0.2913783128121371</v>
      </c>
      <c r="BO31" s="44"/>
      <c r="BP31" s="44">
        <f t="shared" si="29"/>
        <v>-0.09882358989976521</v>
      </c>
      <c r="BQ31" s="44">
        <f t="shared" si="29"/>
        <v>0.006331396212868582</v>
      </c>
      <c r="BR31" s="44">
        <f t="shared" si="29"/>
        <v>-0.020132623664911958</v>
      </c>
      <c r="BS31" s="44">
        <f t="shared" si="29"/>
        <v>-0.08183951474551547</v>
      </c>
      <c r="BT31" s="44">
        <f t="shared" si="29"/>
        <v>-0.016110962197976312</v>
      </c>
      <c r="BU31" s="44">
        <f t="shared" si="29"/>
        <v>0.02391325411617221</v>
      </c>
      <c r="BV31" s="44">
        <f t="shared" si="29"/>
        <v>-0.030215406693252112</v>
      </c>
      <c r="BW31" s="44">
        <f t="shared" si="29"/>
        <v>-0.02162368427704337</v>
      </c>
      <c r="BX31" s="44">
        <f t="shared" si="29"/>
        <v>-0.2674907280304501</v>
      </c>
      <c r="BY31" s="44">
        <f t="shared" si="29"/>
        <v>-0.30602765256861925</v>
      </c>
      <c r="BZ31" s="44"/>
      <c r="CA31" s="44">
        <f t="shared" si="29"/>
        <v>-0.07841312309485754</v>
      </c>
      <c r="CB31" s="44">
        <f>CORREL(CB56:CB69,CB55:CB68)</f>
        <v>-0.016934275897370045</v>
      </c>
      <c r="CC31" s="44">
        <f>CORREL(CC56:CC69,CC55:CC68)</f>
        <v>-0.3216729408101364</v>
      </c>
      <c r="CD31" s="44">
        <f>CORREL(CD56:CD69,CD55:CD68)</f>
        <v>-0.12470162922734393</v>
      </c>
    </row>
    <row r="32" spans="1:82" ht="18" customHeight="1">
      <c r="A32" s="8" t="s">
        <v>14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</row>
    <row r="33" spans="1:82" ht="12.75">
      <c r="A33" s="3" t="s">
        <v>12</v>
      </c>
      <c r="B33" s="44">
        <f>TDIST(B30/SQRT((1-B30^2)/22),22,1)</f>
        <v>0.030054158400608145</v>
      </c>
      <c r="C33" s="44">
        <f>TDIST(C30/SQRT((1-C30^2)/22),22,1)</f>
        <v>0.004493823230410447</v>
      </c>
      <c r="D33" s="44">
        <f>TDIST(D30/SQRT((1-D30^2)/22),22,1)</f>
        <v>0.018319683052985068</v>
      </c>
      <c r="E33" s="44">
        <f>IF(E30&gt;0,TDIST(E30/SQRT((1-E30^2)/22),22,2),TDIST(-E30/SQRT((1-E30^2)/22),22,2))</f>
        <v>0.03024769353533483</v>
      </c>
      <c r="F33" s="44">
        <f aca="true" t="shared" si="30" ref="F33:AK33">IF(F30&gt;0,TDIST(F30/SQRT((1-F30^2)/22),22,2),TDIST(-F30/SQRT((1-F30^2)/22),22,2))</f>
        <v>0.1468075005503071</v>
      </c>
      <c r="G33" s="44">
        <f t="shared" si="30"/>
        <v>0.07851832609899372</v>
      </c>
      <c r="H33" s="44">
        <f t="shared" si="30"/>
        <v>0.46547207244098954</v>
      </c>
      <c r="I33" s="44">
        <f t="shared" si="30"/>
        <v>0.4363990013087461</v>
      </c>
      <c r="J33" s="44">
        <f t="shared" si="30"/>
        <v>0.5701233171837929</v>
      </c>
      <c r="K33" s="44">
        <f t="shared" si="30"/>
        <v>0.17717685934286265</v>
      </c>
      <c r="L33" s="44">
        <f t="shared" si="30"/>
        <v>0.3663639942480934</v>
      </c>
      <c r="M33" s="44">
        <f t="shared" si="30"/>
        <v>0.01410418729843312</v>
      </c>
      <c r="N33" s="44">
        <f t="shared" si="30"/>
        <v>0.005679557285122733</v>
      </c>
      <c r="O33" s="44">
        <f t="shared" si="30"/>
        <v>0.07582047044180397</v>
      </c>
      <c r="P33" s="44">
        <f t="shared" si="30"/>
        <v>0.16356676988393237</v>
      </c>
      <c r="Q33" s="44">
        <f t="shared" si="30"/>
        <v>0.239154358860576</v>
      </c>
      <c r="R33" s="44">
        <f t="shared" si="30"/>
        <v>0.11358500965137086</v>
      </c>
      <c r="S33" s="44">
        <f t="shared" si="30"/>
        <v>0.08935933109693811</v>
      </c>
      <c r="T33" s="44">
        <f t="shared" si="30"/>
        <v>0.07401692731933278</v>
      </c>
      <c r="U33" s="44">
        <f t="shared" si="30"/>
        <v>0.22538247022515923</v>
      </c>
      <c r="V33" s="44">
        <f t="shared" si="30"/>
        <v>0.04180205198091311</v>
      </c>
      <c r="W33" s="44">
        <f t="shared" si="30"/>
        <v>0.042612158045630004</v>
      </c>
      <c r="X33" s="44">
        <f t="shared" si="30"/>
        <v>0.24635404794142424</v>
      </c>
      <c r="Z33" s="44">
        <f t="shared" si="30"/>
        <v>0.03508696960801976</v>
      </c>
      <c r="AA33" s="44">
        <f t="shared" si="30"/>
        <v>0.172987162940337</v>
      </c>
      <c r="AB33" s="44">
        <f t="shared" si="30"/>
        <v>0.07851832609899372</v>
      </c>
      <c r="AC33" s="44">
        <f t="shared" si="30"/>
        <v>0.46547207244098954</v>
      </c>
      <c r="AD33" s="44">
        <f t="shared" si="30"/>
        <v>0.006251267478374248</v>
      </c>
      <c r="AE33" s="44">
        <f t="shared" si="30"/>
        <v>0.005923355928048357</v>
      </c>
      <c r="AF33" s="44">
        <f t="shared" si="30"/>
        <v>0.12383788490912173</v>
      </c>
      <c r="AG33" s="44">
        <f t="shared" si="30"/>
        <v>0.12803546065506077</v>
      </c>
      <c r="AH33" s="44">
        <f t="shared" si="30"/>
        <v>0.10122723787060148</v>
      </c>
      <c r="AI33" s="44">
        <f t="shared" si="30"/>
        <v>0.05341747512308375</v>
      </c>
      <c r="AK33" s="44">
        <f t="shared" si="30"/>
        <v>0.11219150339389994</v>
      </c>
      <c r="AL33" s="44">
        <f>IF(AL30&gt;0,TDIST(AL30/SQRT((1-AL30^2)/22),22,2),TDIST(-AL30/SQRT((1-AL30^2)/22),22,2))</f>
        <v>0.014574286976132096</v>
      </c>
      <c r="AM33" s="44">
        <f>IF(AM30&gt;0,TDIST(AM30/SQRT((1-AM30^2)/22),22,2),TDIST(-AM30/SQRT((1-AM30^2)/22),22,2))</f>
        <v>0.10190992708056647</v>
      </c>
      <c r="AN33" s="44">
        <f>IF(AN30&gt;0,TDIST(AN30/SQRT((1-AN30^2)/22),22,2),TDIST(-AN30/SQRT((1-AN30^2)/22),22,2))</f>
        <v>0.04035334513793414</v>
      </c>
      <c r="AO33" s="77"/>
      <c r="AP33" s="44"/>
      <c r="AQ33" s="44"/>
      <c r="AR33" s="44">
        <f aca="true" t="shared" si="31" ref="AR33:CA33">IF(AR30&gt;0,TDIST(AR30/SQRT((1-AR30^2)/22),22,2),TDIST(-AR30/SQRT((1-AR30^2)/22),22,2))</f>
        <v>0.5149099560313606</v>
      </c>
      <c r="AS33" s="44">
        <f t="shared" si="31"/>
        <v>0.22200024056143985</v>
      </c>
      <c r="AT33" s="44">
        <f t="shared" si="31"/>
        <v>0.5716789407825245</v>
      </c>
      <c r="AU33" s="44">
        <f t="shared" si="31"/>
        <v>0.642138599582723</v>
      </c>
      <c r="AV33" s="44">
        <f t="shared" si="31"/>
        <v>0.6484357953049185</v>
      </c>
      <c r="AW33" s="44">
        <f t="shared" si="31"/>
        <v>0.44708779738111337</v>
      </c>
      <c r="AX33" s="44">
        <f t="shared" si="31"/>
        <v>0.8255220437047351</v>
      </c>
      <c r="AY33" s="44">
        <f t="shared" si="31"/>
        <v>0.8358553934091446</v>
      </c>
      <c r="AZ33" s="44">
        <f t="shared" si="31"/>
        <v>0.8397910002555251</v>
      </c>
      <c r="BA33" s="44">
        <f t="shared" si="31"/>
        <v>0.5974112263544968</v>
      </c>
      <c r="BB33" s="44">
        <f t="shared" si="31"/>
        <v>0.8618428084701306</v>
      </c>
      <c r="BC33" s="44">
        <f t="shared" si="31"/>
        <v>0.14430346581383113</v>
      </c>
      <c r="BD33" s="44">
        <f t="shared" si="31"/>
        <v>0.09424460485667278</v>
      </c>
      <c r="BE33" s="44">
        <f t="shared" si="31"/>
        <v>0.3686366603549597</v>
      </c>
      <c r="BF33" s="44">
        <f t="shared" si="31"/>
        <v>0.5086181148434357</v>
      </c>
      <c r="BG33" s="44">
        <f t="shared" si="31"/>
        <v>0.6178568978360603</v>
      </c>
      <c r="BH33" s="44">
        <f t="shared" si="31"/>
        <v>0.5545498101655422</v>
      </c>
      <c r="BI33" s="44">
        <f t="shared" si="31"/>
        <v>0.5887867626042077</v>
      </c>
      <c r="BJ33" s="44">
        <f t="shared" si="31"/>
        <v>0.5587943065624912</v>
      </c>
      <c r="BK33" s="44">
        <f t="shared" si="31"/>
        <v>0.7358904348051446</v>
      </c>
      <c r="BL33" s="44">
        <f t="shared" si="31"/>
        <v>0.46992937292251835</v>
      </c>
      <c r="BM33" s="44">
        <f t="shared" si="31"/>
        <v>0.6025822522764239</v>
      </c>
      <c r="BN33" s="44">
        <f t="shared" si="31"/>
        <v>0.8238863339138071</v>
      </c>
      <c r="BO33" s="44"/>
      <c r="BP33" s="44">
        <f t="shared" si="31"/>
        <v>0.4381792785262141</v>
      </c>
      <c r="BQ33" s="44">
        <f t="shared" si="31"/>
        <v>0.6516387127738882</v>
      </c>
      <c r="BR33" s="44">
        <f t="shared" si="31"/>
        <v>0.44708779738111337</v>
      </c>
      <c r="BS33" s="44">
        <f t="shared" si="31"/>
        <v>0.8255220437047351</v>
      </c>
      <c r="BT33" s="44">
        <f t="shared" si="31"/>
        <v>0.15886881318750168</v>
      </c>
      <c r="BU33" s="44">
        <f t="shared" si="31"/>
        <v>0.08528803095834027</v>
      </c>
      <c r="BV33" s="44">
        <f t="shared" si="31"/>
        <v>0.44811931262966787</v>
      </c>
      <c r="BW33" s="44">
        <f t="shared" si="31"/>
        <v>0.5469166238137337</v>
      </c>
      <c r="BX33" s="44">
        <f t="shared" si="31"/>
        <v>0.5993938984157848</v>
      </c>
      <c r="BY33" s="44">
        <f t="shared" si="31"/>
        <v>0.6605283564934441</v>
      </c>
      <c r="BZ33" s="44"/>
      <c r="CA33" s="44">
        <f t="shared" si="31"/>
        <v>0.5384261460907961</v>
      </c>
      <c r="CB33" s="44">
        <f>IF(CB30&gt;0,TDIST(CB30/SQRT((1-CB30^2)/22),22,2),TDIST(-CB30/SQRT((1-CB30^2)/22),22,2))</f>
        <v>0.15471528396335854</v>
      </c>
      <c r="CC33" s="44">
        <f>IF(CC30&gt;0,TDIST(CC30/SQRT((1-CC30^2)/22),22,2),TDIST(-CC30/SQRT((1-CC30^2)/22),22,2))</f>
        <v>0.6111268372574574</v>
      </c>
      <c r="CD33" s="44">
        <f>IF(CD30&gt;0,TDIST(CD30/SQRT((1-CD30^2)/22),22,2),TDIST(-CD30/SQRT((1-CD30^2)/22),22,2))</f>
        <v>0.3039753316270436</v>
      </c>
    </row>
    <row r="34" spans="1:82" ht="12.75">
      <c r="A34" s="3" t="s">
        <v>13</v>
      </c>
      <c r="B34" s="44">
        <f>TDIST(B31/SQRT((1-B31^2)/12),12,1)</f>
        <v>0.16335164988895012</v>
      </c>
      <c r="C34" s="44">
        <f>TDIST(C31/SQRT((1-C31^2)/12),12,1)</f>
        <v>0.0896745411730106</v>
      </c>
      <c r="D34" s="44">
        <f>TDIST(D31/SQRT((1-D31^2)/12),12,1)</f>
        <v>0.08294832452308437</v>
      </c>
      <c r="E34" s="44">
        <f>IF(E31&gt;0,TDIST(E31/SQRT((1-E31^2)/12),12,2),TDIST(-E31/SQRT((1-E31^2)/12),12,2))</f>
        <v>0.19064102260941052</v>
      </c>
      <c r="F34" s="44">
        <f aca="true" t="shared" si="32" ref="F34:AK34">IF(F31&gt;0,TDIST(F31/SQRT((1-F31^2)/12),12,2),TDIST(-F31/SQRT((1-F31^2)/12),12,2))</f>
        <v>0.4022914694203148</v>
      </c>
      <c r="G34" s="44">
        <f t="shared" si="32"/>
        <v>0.2940159692311346</v>
      </c>
      <c r="H34" s="44">
        <f t="shared" si="32"/>
        <v>0.904532512312635</v>
      </c>
      <c r="I34" s="44">
        <f t="shared" si="32"/>
        <v>0.881244715019893</v>
      </c>
      <c r="J34" s="44">
        <f t="shared" si="32"/>
        <v>0.952349107782967</v>
      </c>
      <c r="K34" s="44">
        <f t="shared" si="32"/>
        <v>0.43733696239271613</v>
      </c>
      <c r="L34" s="44">
        <f t="shared" si="32"/>
        <v>0.557465843225402</v>
      </c>
      <c r="M34" s="44">
        <f t="shared" si="32"/>
        <v>0.20315668487470573</v>
      </c>
      <c r="N34" s="44">
        <f t="shared" si="32"/>
        <v>0.14689005538950095</v>
      </c>
      <c r="O34" s="44">
        <f t="shared" si="32"/>
        <v>0.24146136051817857</v>
      </c>
      <c r="P34" s="44">
        <f t="shared" si="32"/>
        <v>0.4139939952702677</v>
      </c>
      <c r="Q34" s="44">
        <f t="shared" si="32"/>
        <v>0.4374824348498527</v>
      </c>
      <c r="R34" s="44">
        <f t="shared" si="32"/>
        <v>0.33864840925664685</v>
      </c>
      <c r="S34" s="44">
        <f t="shared" si="32"/>
        <v>0.8666152499602805</v>
      </c>
      <c r="T34" s="44">
        <f t="shared" si="32"/>
        <v>0.5719592800244324</v>
      </c>
      <c r="U34" s="44">
        <f t="shared" si="32"/>
        <v>0.7871286502466951</v>
      </c>
      <c r="V34" s="44">
        <f t="shared" si="32"/>
        <v>0.5229905569926853</v>
      </c>
      <c r="W34" s="44">
        <f t="shared" si="32"/>
        <v>0.9463665427896214</v>
      </c>
      <c r="X34" s="44">
        <f t="shared" si="32"/>
        <v>0.6705408308551237</v>
      </c>
      <c r="Z34" s="44">
        <f t="shared" si="32"/>
        <v>0.25858931647920846</v>
      </c>
      <c r="AA34" s="44">
        <f t="shared" si="32"/>
        <v>0.4130988119238481</v>
      </c>
      <c r="AB34" s="44">
        <f t="shared" si="32"/>
        <v>0.2940159692311346</v>
      </c>
      <c r="AC34" s="44">
        <f t="shared" si="32"/>
        <v>0.904532512312635</v>
      </c>
      <c r="AD34" s="44">
        <f t="shared" si="32"/>
        <v>0.2118347069594757</v>
      </c>
      <c r="AE34" s="44">
        <f t="shared" si="32"/>
        <v>0.11489981927387365</v>
      </c>
      <c r="AF34" s="44">
        <f t="shared" si="32"/>
        <v>0.35805940436215855</v>
      </c>
      <c r="AG34" s="44">
        <f t="shared" si="32"/>
        <v>0.4609713994999143</v>
      </c>
      <c r="AH34" s="44">
        <f t="shared" si="32"/>
        <v>0.7331956112350495</v>
      </c>
      <c r="AI34" s="44">
        <f t="shared" si="32"/>
        <v>0.8608294336282302</v>
      </c>
      <c r="AK34" s="44">
        <f t="shared" si="32"/>
        <v>0.4397847911436127</v>
      </c>
      <c r="AL34" s="44">
        <f>IF(AL31&gt;0,TDIST(AL31/SQRT((1-AL31^2)/12),12,2),TDIST(-AL31/SQRT((1-AL31^2)/12),12,2))</f>
        <v>0.20763084852834712</v>
      </c>
      <c r="AM34" s="44">
        <f>IF(AM31&gt;0,TDIST(AM31/SQRT((1-AM31^2)/12),12,2),TDIST(-AM31/SQRT((1-AM31^2)/12),12,2))</f>
        <v>0.9343049444774423</v>
      </c>
      <c r="AN34" s="44">
        <f>IF(AN31&gt;0,TDIST(AN31/SQRT((1-AN31^2)/12),12,2),TDIST(-AN31/SQRT((1-AN31^2)/12),12,2))</f>
        <v>0.35263166295096837</v>
      </c>
      <c r="AO34" s="44"/>
      <c r="AP34" s="44"/>
      <c r="AQ34" s="44"/>
      <c r="AR34" s="44">
        <f aca="true" t="shared" si="33" ref="AR34:CA34">IF(AR31&gt;0,TDIST(AR31/SQRT((1-AR31^2)/12),12,2),TDIST(-AR31/SQRT((1-AR31^2)/12),12,2))</f>
        <v>0.8280817709250254</v>
      </c>
      <c r="AS34" s="44">
        <f t="shared" si="33"/>
        <v>0.7668765495006895</v>
      </c>
      <c r="AT34" s="44">
        <f t="shared" si="33"/>
        <v>0.7672507535230775</v>
      </c>
      <c r="AU34" s="44">
        <f t="shared" si="33"/>
        <v>0.8441943809847743</v>
      </c>
      <c r="AV34" s="44">
        <f t="shared" si="33"/>
        <v>0.9942342712405952</v>
      </c>
      <c r="AW34" s="44">
        <f t="shared" si="33"/>
        <v>0.9455371572512725</v>
      </c>
      <c r="AX34" s="44">
        <f t="shared" si="33"/>
        <v>0.7809111346074729</v>
      </c>
      <c r="AY34" s="44">
        <f t="shared" si="33"/>
        <v>0.7888112833646047</v>
      </c>
      <c r="AZ34" s="44">
        <f t="shared" si="33"/>
        <v>0.8118160694725215</v>
      </c>
      <c r="BA34" s="44">
        <f t="shared" si="33"/>
        <v>0.9603462003293817</v>
      </c>
      <c r="BB34" s="44">
        <f t="shared" si="33"/>
        <v>0.9771657709657223</v>
      </c>
      <c r="BC34" s="44">
        <f t="shared" si="33"/>
        <v>0.9799137420560154</v>
      </c>
      <c r="BD34" s="44">
        <f t="shared" si="33"/>
        <v>0.9541668925348293</v>
      </c>
      <c r="BE34" s="44">
        <f t="shared" si="33"/>
        <v>0.9698150166261377</v>
      </c>
      <c r="BF34" s="44">
        <f t="shared" si="33"/>
        <v>0.8859926115927815</v>
      </c>
      <c r="BG34" s="44">
        <f t="shared" si="33"/>
        <v>0.9003732812066082</v>
      </c>
      <c r="BH34" s="44">
        <f t="shared" si="33"/>
        <v>0.9934178518939975</v>
      </c>
      <c r="BI34" s="44">
        <f t="shared" si="33"/>
        <v>0.3131000887723857</v>
      </c>
      <c r="BJ34" s="44">
        <f t="shared" si="33"/>
        <v>0.3979609211525169</v>
      </c>
      <c r="BK34" s="44">
        <f t="shared" si="33"/>
        <v>0.4595765111412603</v>
      </c>
      <c r="BL34" s="44">
        <f t="shared" si="33"/>
        <v>0.35422403293921534</v>
      </c>
      <c r="BM34" s="44">
        <f t="shared" si="33"/>
        <v>0.32146765159296287</v>
      </c>
      <c r="BN34" s="44">
        <f t="shared" si="33"/>
        <v>0.31213838618911516</v>
      </c>
      <c r="BO34" s="44"/>
      <c r="BP34" s="44">
        <f t="shared" si="33"/>
        <v>0.7367851340953429</v>
      </c>
      <c r="BQ34" s="44">
        <f t="shared" si="33"/>
        <v>0.982861857634057</v>
      </c>
      <c r="BR34" s="44">
        <f t="shared" si="33"/>
        <v>0.9455371572512725</v>
      </c>
      <c r="BS34" s="44">
        <f t="shared" si="33"/>
        <v>0.7809111346074729</v>
      </c>
      <c r="BT34" s="44">
        <f t="shared" si="33"/>
        <v>0.9564059831466474</v>
      </c>
      <c r="BU34" s="44">
        <f t="shared" si="33"/>
        <v>0.9353277276523826</v>
      </c>
      <c r="BV34" s="44">
        <f t="shared" si="33"/>
        <v>0.91833027289054</v>
      </c>
      <c r="BW34" s="44">
        <f t="shared" si="33"/>
        <v>0.9415096027979947</v>
      </c>
      <c r="BX34" s="44">
        <f t="shared" si="33"/>
        <v>0.3551996707913776</v>
      </c>
      <c r="BY34" s="44">
        <f t="shared" si="33"/>
        <v>0.2872863917813453</v>
      </c>
      <c r="BZ34" s="44"/>
      <c r="CA34" s="44">
        <f t="shared" si="33"/>
        <v>0.7898924914769918</v>
      </c>
      <c r="CB34" s="44">
        <f>IF(CB31&gt;0,TDIST(CB31/SQRT((1-CB31^2)/12),12,2),TDIST(-CB31/SQRT((1-CB31^2)/12),12,2))</f>
        <v>0.9541802883912718</v>
      </c>
      <c r="CC34" s="44">
        <f>IF(CC31&gt;0,TDIST(CC31/SQRT((1-CC31^2)/12),12,2),TDIST(-CC31/SQRT((1-CC31^2)/12),12,2))</f>
        <v>0.2620693307821763</v>
      </c>
      <c r="CD34" s="44">
        <f>IF(CD31&gt;0,TDIST(CD31/SQRT((1-CD31^2)/12),12,2),TDIST(-CD31/SQRT((1-CD31^2)/12),12,2))</f>
        <v>0.6710163334180773</v>
      </c>
    </row>
    <row r="35" spans="1:82" ht="18" customHeight="1">
      <c r="A35" s="9" t="s">
        <v>18</v>
      </c>
      <c r="AO35" s="43"/>
      <c r="AP35" s="43"/>
      <c r="AQ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</row>
    <row r="36" spans="1:82" ht="12.75">
      <c r="A36" s="3" t="s">
        <v>12</v>
      </c>
      <c r="B36" s="44">
        <f>CORREL(B47:B$69,B45:B$67)</f>
        <v>-0.16015103849012663</v>
      </c>
      <c r="C36" s="44">
        <f>CORREL(C47:C$69,C45:C$67)</f>
        <v>-0.09617346933836399</v>
      </c>
      <c r="D36" s="44">
        <f>CORREL(D47:D$69,D45:D$67)</f>
        <v>-0.056961210710916456</v>
      </c>
      <c r="E36" s="44">
        <f>CORREL(E47:E$69,E45:E$67)</f>
        <v>-0.020564435134975544</v>
      </c>
      <c r="F36" s="44">
        <f>CORREL(F47:F$69,F45:F$67)</f>
        <v>-0.22779197197810308</v>
      </c>
      <c r="G36" s="44">
        <f>CORREL(G47:G$69,G45:G$67)</f>
        <v>-0.25280264976516204</v>
      </c>
      <c r="H36" s="44">
        <f>CORREL(H47:H$69,H45:H$67)</f>
        <v>-0.27326479230912143</v>
      </c>
      <c r="I36" s="44">
        <f>CORREL(I47:I$69,I45:I$67)</f>
        <v>-0.23623822667186062</v>
      </c>
      <c r="J36" s="44">
        <f>CORREL(J47:J$69,J45:J$67)</f>
        <v>-0.33364087086184097</v>
      </c>
      <c r="K36" s="44">
        <f>CORREL(K47:K$69,K45:K$67)</f>
        <v>-0.2910202406741034</v>
      </c>
      <c r="L36" s="44">
        <f>CORREL(L47:L$69,L45:L$67)</f>
        <v>-0.1215454757122672</v>
      </c>
      <c r="M36" s="44">
        <f>CORREL(M47:M$69,M45:M$67)</f>
        <v>-0.20888497322351032</v>
      </c>
      <c r="N36" s="44">
        <f>CORREL(N47:N$69,N45:N$67)</f>
        <v>-0.1308495676580772</v>
      </c>
      <c r="O36" s="44">
        <f>CORREL(O47:O$69,O45:O$67)</f>
        <v>-0.3003523313574819</v>
      </c>
      <c r="P36" s="44">
        <f>CORREL(P47:P$69,P45:P$67)</f>
        <v>-0.3466080035152923</v>
      </c>
      <c r="Q36" s="44">
        <f>CORREL(Q47:Q$69,Q45:Q$67)</f>
        <v>-0.3395912033974594</v>
      </c>
      <c r="R36" s="44">
        <f>CORREL(R47:R$69,R45:R$67)</f>
        <v>-0.2209723473348128</v>
      </c>
      <c r="S36" s="44">
        <f>CORREL(S47:S$69,S45:S$67)</f>
        <v>-0.16260463904172862</v>
      </c>
      <c r="T36" s="44">
        <f>CORREL(T47:T$69,T45:T$67)</f>
        <v>-0.15572480890471038</v>
      </c>
      <c r="U36" s="44">
        <f>CORREL(U47:U$69,U45:U$67)</f>
        <v>-0.19185827079746323</v>
      </c>
      <c r="V36" s="44">
        <f>CORREL(V47:V$69,V45:V$67)</f>
        <v>-0.12482717347820407</v>
      </c>
      <c r="W36" s="44">
        <f>CORREL(W47:W$69,W45:W$67)</f>
        <v>-0.061757759293643334</v>
      </c>
      <c r="X36" s="44">
        <f>CORREL(X47:X$69,X45:X$67)</f>
        <v>-0.10876845494940532</v>
      </c>
      <c r="Z36" s="44">
        <f>CORREL(Z47:Z$69,Z45:Z$67)</f>
        <v>-0.12450067879440908</v>
      </c>
      <c r="AA36" s="44">
        <f>CORREL(AA47:AA$69,AA45:AA$67)</f>
        <v>-0.25198586391243843</v>
      </c>
      <c r="AB36" s="44">
        <f>CORREL(AB47:AB$69,AB45:AB$67)</f>
        <v>-0.25280264976516204</v>
      </c>
      <c r="AC36" s="44">
        <f>CORREL(AC47:AC$69,AC45:AC$67)</f>
        <v>-0.27326479230912143</v>
      </c>
      <c r="AD36" s="44">
        <f>CORREL(AD47:AD$69,AD45:AD$67)</f>
        <v>-0.08950032674861438</v>
      </c>
      <c r="AE36" s="44">
        <f>CORREL(AE47:AE$69,AE45:AE$67)</f>
        <v>-0.1542164559916787</v>
      </c>
      <c r="AF36" s="44">
        <f>CORREL(AF47:AF$69,AF45:AF$67)</f>
        <v>-0.3187030156148574</v>
      </c>
      <c r="AG36" s="44">
        <f>CORREL(AG47:AG$69,AG45:AG$67)</f>
        <v>-0.24914906251637386</v>
      </c>
      <c r="AH36" s="44">
        <f>CORREL(AH47:AH$69,AH45:AH$67)</f>
        <v>-0.16958914177338083</v>
      </c>
      <c r="AI36" s="44">
        <f>CORREL(AI47:AI$69,AI45:AI$67)</f>
        <v>-0.05139449474665546</v>
      </c>
      <c r="AK36" s="44">
        <f>CORREL(AK47:AK$69,AK45:AK$67)</f>
        <v>-0.24505060011486385</v>
      </c>
      <c r="AL36" s="44">
        <f>CORREL(AL47:AL$69,AL45:AL$67)</f>
        <v>-0.20455330993519774</v>
      </c>
      <c r="AM36" s="44">
        <f>CORREL(AM47:AM$69,AM45:AM$67)</f>
        <v>-0.16565881882936154</v>
      </c>
      <c r="AN36" s="44">
        <f>CORREL(AN47:AN$69,AN45:AN$67)</f>
        <v>-0.24575256264067355</v>
      </c>
      <c r="AO36" s="44"/>
      <c r="AP36" s="44"/>
      <c r="AQ36" s="44"/>
      <c r="AR36" s="44">
        <f>CORREL(AR47:AR$69,AR45:AR$67)</f>
        <v>-0.241603349756147</v>
      </c>
      <c r="AS36" s="44">
        <f>CORREL(AS47:AS$69,AS45:AS$67)</f>
        <v>-0.28748463159843257</v>
      </c>
      <c r="AT36" s="44">
        <f>CORREL(AT47:AT$69,AT45:AT$67)</f>
        <v>-0.17010705642133675</v>
      </c>
      <c r="AU36" s="44">
        <f>CORREL(AU47:AU$69,AU45:AU$67)</f>
        <v>-0.18804660310344695</v>
      </c>
      <c r="AV36" s="44">
        <f>CORREL(AV47:AV$69,AV45:AV$67)</f>
        <v>-0.24697684230653508</v>
      </c>
      <c r="AW36" s="44">
        <f>CORREL(AW47:AW$69,AW45:AW$67)</f>
        <v>-0.30757481962850614</v>
      </c>
      <c r="AX36" s="44">
        <f>CORREL(AX47:AX$69,AX45:AX$67)</f>
        <v>-0.24254561378147896</v>
      </c>
      <c r="AY36" s="44">
        <f>CORREL(AY47:AY$69,AY45:AY$67)</f>
        <v>-0.2048201381165565</v>
      </c>
      <c r="AZ36" s="44">
        <f>CORREL(AZ47:AZ$69,AZ45:AZ$67)</f>
        <v>-0.30302501218195144</v>
      </c>
      <c r="BA36" s="44">
        <f>CORREL(BA47:BA$69,BA45:BA$67)</f>
        <v>-0.2859599907564171</v>
      </c>
      <c r="BB36" s="44">
        <f>CORREL(BB47:BB$69,BB45:BB$67)</f>
        <v>-0.060826197316704994</v>
      </c>
      <c r="BC36" s="44">
        <f>CORREL(BC47:BC$69,BC45:BC$67)</f>
        <v>-0.2950694732231848</v>
      </c>
      <c r="BD36" s="44">
        <f>CORREL(BD47:BD$69,BD45:BD$67)</f>
        <v>-0.2698882597123616</v>
      </c>
      <c r="BE36" s="44">
        <f>CORREL(BE47:BE$69,BE45:BE$67)</f>
        <v>-0.32578598538088704</v>
      </c>
      <c r="BF36" s="44">
        <f>CORREL(BF47:BF$69,BF45:BF$67)</f>
        <v>-0.345467659696033</v>
      </c>
      <c r="BG36" s="44">
        <f>CORREL(BG47:BG$69,BG45:BG$67)</f>
        <v>-0.3139427419745496</v>
      </c>
      <c r="BH36" s="44">
        <f>CORREL(BH47:BH$69,BH45:BH$67)</f>
        <v>-0.22010237206879438</v>
      </c>
      <c r="BI36" s="44">
        <f>CORREL(BI47:BI$69,BI45:BI$67)</f>
        <v>-0.17388015083360792</v>
      </c>
      <c r="BJ36" s="44">
        <f>CORREL(BJ47:BJ$69,BJ45:BJ$67)</f>
        <v>-0.1795985721020268</v>
      </c>
      <c r="BK36" s="44">
        <f>CORREL(BK47:BK$69,BK45:BK$67)</f>
        <v>-0.15845371239955955</v>
      </c>
      <c r="BL36" s="44">
        <f>CORREL(BL47:BL$69,BL45:BL$67)</f>
        <v>-0.17320510703953082</v>
      </c>
      <c r="BM36" s="44">
        <f>CORREL(BM47:BM$69,BM45:BM$67)</f>
        <v>-0.1443950658287449</v>
      </c>
      <c r="BN36" s="44">
        <f>CORREL(BN47:BN$69,BN45:BN$67)</f>
        <v>-0.09097191497590451</v>
      </c>
      <c r="BO36" s="44"/>
      <c r="BP36" s="44">
        <f>CORREL(BP47:BP$69,BP45:BP$67)</f>
        <v>-0.23823056887124472</v>
      </c>
      <c r="BQ36" s="44">
        <f>CORREL(BQ47:BQ$69,BQ45:BQ$67)</f>
        <v>-0.25557518255782213</v>
      </c>
      <c r="BR36" s="44">
        <f>CORREL(BR47:BR$69,BR45:BR$67)</f>
        <v>-0.30757481962850614</v>
      </c>
      <c r="BS36" s="44">
        <f>CORREL(BS47:BS$69,BS45:BS$67)</f>
        <v>-0.24254561378147896</v>
      </c>
      <c r="BT36" s="44">
        <f>CORREL(BT47:BT$69,BT45:BT$67)</f>
        <v>-0.23485540442899674</v>
      </c>
      <c r="BU36" s="44">
        <f>CORREL(BU47:BU$69,BU45:BU$67)</f>
        <v>-0.3013253388100184</v>
      </c>
      <c r="BV36" s="44">
        <f>CORREL(BV47:BV$69,BV45:BV$67)</f>
        <v>-0.317528067879842</v>
      </c>
      <c r="BW36" s="44">
        <f>CORREL(BW47:BW$69,BW45:BW$67)</f>
        <v>-0.24229657544876562</v>
      </c>
      <c r="BX36" s="44">
        <f>CORREL(BX47:BX$69,BX45:BX$67)</f>
        <v>-0.16959558773006395</v>
      </c>
      <c r="BY36" s="44">
        <f>CORREL(BY47:BY$69,BY45:BY$67)</f>
        <v>-0.12258055814591667</v>
      </c>
      <c r="BZ36" s="44"/>
      <c r="CA36" s="44">
        <f>CORREL(CA47:CA$69,CA45:CA$67)</f>
        <v>-0.276056430518574</v>
      </c>
      <c r="CB36" s="44">
        <f>CORREL(CB47:CB$69,CB45:CB$67)</f>
        <v>-0.2860042234072958</v>
      </c>
      <c r="CC36" s="44">
        <f>CORREL(CC47:CC$69,CC45:CC$67)</f>
        <v>-0.17076996891026464</v>
      </c>
      <c r="CD36" s="44">
        <f>CORREL(CD47:CD$69,CD45:CD$67)</f>
        <v>-0.28266806114072923</v>
      </c>
    </row>
    <row r="37" spans="1:82" ht="12.75">
      <c r="A37" s="3" t="s">
        <v>13</v>
      </c>
      <c r="B37" s="44">
        <f>CORREL(B57:B$69,B55:B$67)</f>
        <v>-0.3839471972858369</v>
      </c>
      <c r="C37" s="44">
        <f>CORREL(C57:C$69,C55:C$67)</f>
        <v>-0.43569785617567397</v>
      </c>
      <c r="D37" s="44">
        <f>CORREL(D57:D$69,D55:D$67)</f>
        <v>-0.10147158961358678</v>
      </c>
      <c r="E37" s="44">
        <f>CORREL(E57:E$69,E55:E$67)</f>
        <v>-0.14249382505111657</v>
      </c>
      <c r="F37" s="44">
        <f>CORREL(F57:F$69,F55:F$67)</f>
        <v>-0.3934990738383299</v>
      </c>
      <c r="G37" s="44">
        <f>CORREL(G57:G$69,G55:G$67)</f>
        <v>-0.4723968576661308</v>
      </c>
      <c r="H37" s="44">
        <f>CORREL(H57:H$69,H55:H$67)</f>
        <v>-0.3376069506051861</v>
      </c>
      <c r="I37" s="44">
        <f>CORREL(I57:I$69,I55:I$67)</f>
        <v>-0.3576458255905191</v>
      </c>
      <c r="J37" s="44">
        <f>CORREL(J57:J$69,J55:J$67)</f>
        <v>-0.3359140638823086</v>
      </c>
      <c r="K37" s="44">
        <f>CORREL(K57:K$69,K55:K$67)</f>
        <v>-0.3807159440557393</v>
      </c>
      <c r="L37" s="44">
        <f>CORREL(L57:L$69,L55:L$67)</f>
        <v>-0.20039682642735954</v>
      </c>
      <c r="M37" s="44">
        <f>CORREL(M57:M$69,M55:M$67)</f>
        <v>-0.5956057660448802</v>
      </c>
      <c r="N37" s="44">
        <f>CORREL(N57:N$69,N55:N$67)</f>
        <v>-0.5819081659299065</v>
      </c>
      <c r="O37" s="44">
        <f>CORREL(O57:O$69,O55:O$67)</f>
        <v>-0.3122771105264322</v>
      </c>
      <c r="P37" s="44">
        <f>CORREL(P57:P$69,P55:P$67)</f>
        <v>-0.4975266461376665</v>
      </c>
      <c r="Q37" s="44">
        <f>CORREL(Q57:Q$69,Q55:Q$67)</f>
        <v>-0.35816677842831973</v>
      </c>
      <c r="R37" s="44">
        <f>CORREL(R57:R$69,R55:R$67)</f>
        <v>-0.29913458394448</v>
      </c>
      <c r="S37" s="44">
        <f>CORREL(S57:S$69,S55:S$67)</f>
        <v>-0.41022498422007936</v>
      </c>
      <c r="T37" s="44">
        <f>CORREL(T57:T$69,T55:T$67)</f>
        <v>-0.2241415444865407</v>
      </c>
      <c r="U37" s="44">
        <f>CORREL(U57:U$69,U55:U$67)</f>
        <v>-0.3481263551781826</v>
      </c>
      <c r="V37" s="44">
        <f>CORREL(V57:V$69,V55:V$67)</f>
        <v>-0.2762747913934627</v>
      </c>
      <c r="W37" s="44">
        <f>CORREL(W57:W$69,W55:W$67)</f>
        <v>-0.4406167982400907</v>
      </c>
      <c r="X37" s="44">
        <f>CORREL(X57:X$69,X55:X$67)</f>
        <v>-0.30081515280189625</v>
      </c>
      <c r="Z37" s="44">
        <f>CORREL(Z57:Z$69,Z55:Z$67)</f>
        <v>-0.34062062033559154</v>
      </c>
      <c r="AA37" s="44">
        <f>CORREL(AA57:AA$69,AA55:AA$67)</f>
        <v>-0.3936552777942707</v>
      </c>
      <c r="AB37" s="44">
        <f>CORREL(AB57:AB$69,AB55:AB$67)</f>
        <v>-0.4723968576661308</v>
      </c>
      <c r="AC37" s="44">
        <f>CORREL(AC57:AC$69,AC55:AC$67)</f>
        <v>-0.3376069506051861</v>
      </c>
      <c r="AD37" s="44">
        <f>CORREL(AD57:AD$69,AD55:AD$67)</f>
        <v>-0.6809833520961094</v>
      </c>
      <c r="AE37" s="44">
        <f>CORREL(AE57:AE$69,AE55:AE$67)</f>
        <v>-0.5186183720964231</v>
      </c>
      <c r="AF37" s="44">
        <f>CORREL(AF57:AF$69,AF55:AF$67)</f>
        <v>-0.4081567314746811</v>
      </c>
      <c r="AG37" s="44">
        <f>CORREL(AG57:AG$69,AG55:AG$67)</f>
        <v>-0.43936038843364683</v>
      </c>
      <c r="AH37" s="44">
        <f>CORREL(AH57:AH$69,AH55:AH$67)</f>
        <v>-0.3280436869936817</v>
      </c>
      <c r="AI37" s="44">
        <f>CORREL(AI57:AI$69,AI55:AI$67)</f>
        <v>-0.3838965595863383</v>
      </c>
      <c r="AK37" s="44">
        <f>CORREL(AK57:AK$69,AK55:AK$67)</f>
        <v>-0.45488247129376286</v>
      </c>
      <c r="AL37" s="44">
        <f>CORREL(AL57:AL$69,AL55:AL$67)</f>
        <v>-0.5889442454478604</v>
      </c>
      <c r="AM37" s="44">
        <f>CORREL(AM57:AM$69,AM55:AM$67)</f>
        <v>-0.45298248365520133</v>
      </c>
      <c r="AN37" s="44">
        <f>CORREL(AN57:AN$69,AN55:AN$67)</f>
        <v>-0.5671095870371514</v>
      </c>
      <c r="AO37" s="44"/>
      <c r="AP37" s="44"/>
      <c r="AQ37" s="44"/>
      <c r="AR37" s="44">
        <f>CORREL(AR57:AR$69,AR55:AR$67)</f>
        <v>-0.32863289790015543</v>
      </c>
      <c r="AS37" s="44">
        <f>CORREL(AS57:AS$69,AS55:AS$67)</f>
        <v>-0.5893044491078793</v>
      </c>
      <c r="AT37" s="44">
        <f>CORREL(AT57:AT$69,AT55:AT$67)</f>
        <v>-0.18818116470311938</v>
      </c>
      <c r="AU37" s="44">
        <f>CORREL(AU57:AU$69,AU55:AU$67)</f>
        <v>-0.18610683461595784</v>
      </c>
      <c r="AV37" s="44">
        <f>CORREL(AV57:AV$69,AV55:AV$67)</f>
        <v>-0.2973491191894777</v>
      </c>
      <c r="AW37" s="44">
        <f>CORREL(AW57:AW$69,AW55:AW$67)</f>
        <v>-0.47223645320362845</v>
      </c>
      <c r="AX37" s="44">
        <f>CORREL(AX57:AX$69,AX55:AX$67)</f>
        <v>-0.2201923337081892</v>
      </c>
      <c r="AY37" s="44">
        <f>CORREL(AY57:AY$69,AY55:AY$67)</f>
        <v>-0.2340225756500541</v>
      </c>
      <c r="AZ37" s="44">
        <f>CORREL(AZ57:AZ$69,AZ55:AZ$67)</f>
        <v>-0.24609937270225202</v>
      </c>
      <c r="BA37" s="44">
        <f>CORREL(BA57:BA$69,BA55:BA$67)</f>
        <v>-0.28346244995992875</v>
      </c>
      <c r="BB37" s="44">
        <f>CORREL(BB57:BB$69,BB55:BB$67)</f>
        <v>-0.08789727439351676</v>
      </c>
      <c r="BC37" s="44">
        <f>CORREL(BC57:BC$69,BC55:BC$67)</f>
        <v>-0.6420510997537694</v>
      </c>
      <c r="BD37" s="44">
        <f>CORREL(BD57:BD$69,BD55:BD$67)</f>
        <v>-0.6827248000061514</v>
      </c>
      <c r="BE37" s="44">
        <f>CORREL(BE57:BE$69,BE55:BE$67)</f>
        <v>-0.39001846699897513</v>
      </c>
      <c r="BF37" s="44">
        <f>CORREL(BF57:BF$69,BF55:BF$67)</f>
        <v>-0.4684651381371427</v>
      </c>
      <c r="BG37" s="44">
        <f>CORREL(BG57:BG$69,BG55:BG$67)</f>
        <v>-0.3394176934003124</v>
      </c>
      <c r="BH37" s="44">
        <f>CORREL(BH57:BH$69,BH55:BH$67)</f>
        <v>-0.3192139438731751</v>
      </c>
      <c r="BI37" s="44">
        <f>CORREL(BI57:BI$69,BI55:BI$67)</f>
        <v>-0.26110366967201043</v>
      </c>
      <c r="BJ37" s="44">
        <f>CORREL(BJ57:BJ$69,BJ55:BJ$67)</f>
        <v>-0.1784431943783055</v>
      </c>
      <c r="BK37" s="44">
        <f>CORREL(BK57:BK$69,BK55:BK$67)</f>
        <v>-0.2697897742248132</v>
      </c>
      <c r="BL37" s="44">
        <f>CORREL(BL57:BL$69,BL55:BL$67)</f>
        <v>-0.28245009133767307</v>
      </c>
      <c r="BM37" s="44">
        <f>CORREL(BM57:BM$69,BM55:BM$67)</f>
        <v>-0.20141483942887445</v>
      </c>
      <c r="BN37" s="44">
        <f>CORREL(BN57:BN$69,BN55:BN$67)</f>
        <v>-0.15275948742364673</v>
      </c>
      <c r="BO37" s="44"/>
      <c r="BP37" s="44">
        <f>CORREL(BP57:BP$69,BP55:BP$67)</f>
        <v>-0.3513176120649399</v>
      </c>
      <c r="BQ37" s="44">
        <f>CORREL(BQ57:BQ$69,BQ55:BQ$67)</f>
        <v>-0.2960224513720336</v>
      </c>
      <c r="BR37" s="44">
        <f>CORREL(BR57:BR$69,BR55:BR$67)</f>
        <v>-0.47223645320362845</v>
      </c>
      <c r="BS37" s="44">
        <f>CORREL(BS57:BS$69,BS55:BS$67)</f>
        <v>-0.2201923337081892</v>
      </c>
      <c r="BT37" s="44">
        <f>CORREL(BT57:BT$69,BT55:BT$67)</f>
        <v>-0.7040253362120766</v>
      </c>
      <c r="BU37" s="44">
        <f>CORREL(BU57:BU$69,BU55:BU$67)</f>
        <v>-0.6779592927266204</v>
      </c>
      <c r="BV37" s="44">
        <f>CORREL(BV57:BV$69,BV55:BV$67)</f>
        <v>-0.41331687889518487</v>
      </c>
      <c r="BW37" s="44">
        <f>CORREL(BW57:BW$69,BW55:BW$67)</f>
        <v>-0.400359065535263</v>
      </c>
      <c r="BX37" s="44">
        <f>CORREL(BX57:BX$69,BX55:BX$67)</f>
        <v>-0.23685486273442174</v>
      </c>
      <c r="BY37" s="44">
        <f>CORREL(BY57:BY$69,BY55:BY$67)</f>
        <v>-0.17104988810307803</v>
      </c>
      <c r="BZ37" s="44"/>
      <c r="CA37" s="44">
        <f>CORREL(CA57:CA$69,CA55:CA$67)</f>
        <v>-0.37704397495516856</v>
      </c>
      <c r="CB37" s="44">
        <f>CORREL(CB57:CB$69,CB55:CB$67)</f>
        <v>-0.6286065610340452</v>
      </c>
      <c r="CC37" s="44">
        <f>CORREL(CC57:CC$69,CC55:CC$67)</f>
        <v>-0.25575229075502287</v>
      </c>
      <c r="CD37" s="44">
        <f>CORREL(CD57:CD$69,CD55:CD$67)</f>
        <v>-0.5190995239434996</v>
      </c>
    </row>
    <row r="38" spans="1:82" ht="18" customHeight="1">
      <c r="A38" s="8" t="s">
        <v>14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</row>
    <row r="39" spans="1:82" ht="12.75">
      <c r="A39" s="3" t="s">
        <v>12</v>
      </c>
      <c r="B39" s="44">
        <f>IF(B36&gt;0,TDIST(B36/SQRT((1-B36^2)/22),22,2),TDIST(-B36/SQRT((1-B36^2)/22),22,2))</f>
        <v>0.4547386276420776</v>
      </c>
      <c r="C39" s="44">
        <f>IF(C36&gt;0,TDIST(C36/SQRT((1-C36^2)/22),22,2),TDIST(-C36/SQRT((1-C36^2)/22),22,2))</f>
        <v>0.6548470702934863</v>
      </c>
      <c r="D39" s="44">
        <f>IF(D36&gt;0,TDIST(D36/SQRT((1-D36^2)/22),22,2),TDIST(-D36/SQRT((1-D36^2)/22),22,2))</f>
        <v>0.7914952806207001</v>
      </c>
      <c r="E39" s="44">
        <f>IF(E36&gt;0,TDIST(E36/SQRT((1-E36^2)/22),22,2),TDIST(-E36/SQRT((1-E36^2)/22),22,2))</f>
        <v>0.9240158901272342</v>
      </c>
      <c r="F39" s="44">
        <f aca="true" t="shared" si="34" ref="F39:AK39">IF(F36&gt;0,TDIST(F36/SQRT((1-F36^2)/22),22,2),TDIST(-F36/SQRT((1-F36^2)/22),22,2))</f>
        <v>0.28438151003510614</v>
      </c>
      <c r="G39" s="44">
        <f t="shared" si="34"/>
        <v>0.23332363452479632</v>
      </c>
      <c r="H39" s="44">
        <f t="shared" si="34"/>
        <v>0.19635361987431443</v>
      </c>
      <c r="I39" s="44">
        <f t="shared" si="34"/>
        <v>0.2664106077896685</v>
      </c>
      <c r="J39" s="44">
        <f t="shared" si="34"/>
        <v>0.11109592376914347</v>
      </c>
      <c r="K39" s="44">
        <f t="shared" si="34"/>
        <v>0.16768783073387372</v>
      </c>
      <c r="L39" s="44">
        <f t="shared" si="34"/>
        <v>0.5715528335990933</v>
      </c>
      <c r="M39" s="44">
        <f t="shared" si="34"/>
        <v>0.32730490113027977</v>
      </c>
      <c r="N39" s="44">
        <f t="shared" si="34"/>
        <v>0.5422339277714272</v>
      </c>
      <c r="O39" s="44">
        <f t="shared" si="34"/>
        <v>0.15385592637703194</v>
      </c>
      <c r="P39" s="44">
        <f t="shared" si="34"/>
        <v>0.09706045577818169</v>
      </c>
      <c r="Q39" s="44">
        <f t="shared" si="34"/>
        <v>0.10448146593068244</v>
      </c>
      <c r="R39" s="44">
        <f t="shared" si="34"/>
        <v>0.2994345918525294</v>
      </c>
      <c r="S39" s="44">
        <f t="shared" si="34"/>
        <v>0.4477656330726997</v>
      </c>
      <c r="T39" s="44">
        <f t="shared" si="34"/>
        <v>0.4674602297988285</v>
      </c>
      <c r="U39" s="44">
        <f t="shared" si="34"/>
        <v>0.36912264948778306</v>
      </c>
      <c r="V39" s="44">
        <f t="shared" si="34"/>
        <v>0.5611319421508412</v>
      </c>
      <c r="W39" s="44">
        <f t="shared" si="34"/>
        <v>0.7743632297032679</v>
      </c>
      <c r="X39" s="44">
        <f t="shared" si="34"/>
        <v>0.6129170233195299</v>
      </c>
      <c r="Z39" s="44">
        <f t="shared" si="34"/>
        <v>0.5621648698857824</v>
      </c>
      <c r="AA39" s="44">
        <f t="shared" si="34"/>
        <v>0.23488845010440895</v>
      </c>
      <c r="AB39" s="44">
        <f t="shared" si="34"/>
        <v>0.23332363452479632</v>
      </c>
      <c r="AC39" s="44">
        <f t="shared" si="34"/>
        <v>0.19635361987431443</v>
      </c>
      <c r="AD39" s="44">
        <f t="shared" si="34"/>
        <v>0.677490483807293</v>
      </c>
      <c r="AE39" s="44">
        <f t="shared" si="34"/>
        <v>0.4718369407719808</v>
      </c>
      <c r="AF39" s="44">
        <f t="shared" si="34"/>
        <v>0.12904734203928592</v>
      </c>
      <c r="AG39" s="44">
        <f t="shared" si="34"/>
        <v>0.2403768304158479</v>
      </c>
      <c r="AH39" s="44">
        <f t="shared" si="34"/>
        <v>0.4282291293174857</v>
      </c>
      <c r="AI39" s="44">
        <f t="shared" si="34"/>
        <v>0.8114957419690838</v>
      </c>
      <c r="AK39" s="44">
        <f t="shared" si="34"/>
        <v>0.24845338516089632</v>
      </c>
      <c r="AL39" s="44">
        <f>IF(AL36&gt;0,TDIST(AL36/SQRT((1-AL36^2)/22),22,2),TDIST(-AL36/SQRT((1-AL36^2)/22),22,2))</f>
        <v>0.33766116237837174</v>
      </c>
      <c r="AM39" s="44">
        <f>IF(AM36&gt;0,TDIST(AM36/SQRT((1-AM36^2)/22),22,2),TDIST(-AM36/SQRT((1-AM36^2)/22),22,2))</f>
        <v>0.43916539538683763</v>
      </c>
      <c r="AN39" s="44">
        <f>IF(AN36&gt;0,TDIST(AN36/SQRT((1-AN36^2)/22),22,2),TDIST(-AN36/SQRT((1-AN36^2)/22),22,2))</f>
        <v>0.24705770814841566</v>
      </c>
      <c r="AO39" s="44"/>
      <c r="AP39" s="44"/>
      <c r="AQ39" s="44"/>
      <c r="AR39" s="44">
        <f aca="true" t="shared" si="35" ref="AR39:CA39">IF(AR36&gt;0,TDIST(AR36/SQRT((1-AR36^2)/22),22,2),TDIST(-AR36/SQRT((1-AR36^2)/22),22,2))</f>
        <v>0.2553816972961568</v>
      </c>
      <c r="AS39" s="44">
        <f t="shared" si="35"/>
        <v>0.17314815907093362</v>
      </c>
      <c r="AT39" s="44">
        <f t="shared" si="35"/>
        <v>0.4267990949193843</v>
      </c>
      <c r="AU39" s="44">
        <f t="shared" si="35"/>
        <v>0.378889002300549</v>
      </c>
      <c r="AV39" s="44">
        <f t="shared" si="35"/>
        <v>0.24463577369893663</v>
      </c>
      <c r="AW39" s="44">
        <f t="shared" si="35"/>
        <v>0.14371923207080772</v>
      </c>
      <c r="AX39" s="44">
        <f t="shared" si="35"/>
        <v>0.2534756561505277</v>
      </c>
      <c r="AY39" s="44">
        <f t="shared" si="35"/>
        <v>0.3370176258740242</v>
      </c>
      <c r="AZ39" s="44">
        <f t="shared" si="35"/>
        <v>0.1500476413218096</v>
      </c>
      <c r="BA39" s="44">
        <f t="shared" si="35"/>
        <v>0.17554048725654092</v>
      </c>
      <c r="BB39" s="44">
        <f t="shared" si="35"/>
        <v>0.777682812463305</v>
      </c>
      <c r="BC39" s="44">
        <f t="shared" si="35"/>
        <v>0.16158333721478557</v>
      </c>
      <c r="BD39" s="44">
        <f t="shared" si="35"/>
        <v>0.2021606644315096</v>
      </c>
      <c r="BE39" s="44">
        <f t="shared" si="35"/>
        <v>0.12029138721314603</v>
      </c>
      <c r="BF39" s="44">
        <f t="shared" si="35"/>
        <v>0.09823902004952982</v>
      </c>
      <c r="BG39" s="44">
        <f t="shared" si="35"/>
        <v>0.1351848736368737</v>
      </c>
      <c r="BH39" s="44">
        <f t="shared" si="35"/>
        <v>0.30138978034021413</v>
      </c>
      <c r="BI39" s="44">
        <f t="shared" si="35"/>
        <v>0.4164595234236952</v>
      </c>
      <c r="BJ39" s="44">
        <f t="shared" si="35"/>
        <v>0.4010543967164505</v>
      </c>
      <c r="BK39" s="44">
        <f t="shared" si="35"/>
        <v>0.4595954040647209</v>
      </c>
      <c r="BL39" s="44">
        <f t="shared" si="35"/>
        <v>0.4182992067848029</v>
      </c>
      <c r="BM39" s="44">
        <f t="shared" si="35"/>
        <v>0.5008411212466592</v>
      </c>
      <c r="BN39" s="44">
        <f t="shared" si="35"/>
        <v>0.672472882747043</v>
      </c>
      <c r="BO39" s="44"/>
      <c r="BP39" s="44">
        <f t="shared" si="35"/>
        <v>0.26228001070176243</v>
      </c>
      <c r="BQ39" s="44">
        <f t="shared" si="35"/>
        <v>0.22806330118989382</v>
      </c>
      <c r="BR39" s="44">
        <f t="shared" si="35"/>
        <v>0.14371923207080772</v>
      </c>
      <c r="BS39" s="44">
        <f t="shared" si="35"/>
        <v>0.2534756561505277</v>
      </c>
      <c r="BT39" s="44">
        <f t="shared" si="35"/>
        <v>0.26930185568397225</v>
      </c>
      <c r="BU39" s="44">
        <f t="shared" si="35"/>
        <v>0.15246167103460095</v>
      </c>
      <c r="BV39" s="44">
        <f t="shared" si="35"/>
        <v>0.13054316356611484</v>
      </c>
      <c r="BW39" s="44">
        <f t="shared" si="35"/>
        <v>0.25397852071614824</v>
      </c>
      <c r="BX39" s="44">
        <f t="shared" si="35"/>
        <v>0.4282113152170359</v>
      </c>
      <c r="BY39" s="44">
        <f t="shared" si="35"/>
        <v>0.5682567478013019</v>
      </c>
      <c r="BZ39" s="44"/>
      <c r="CA39" s="44">
        <f t="shared" si="35"/>
        <v>0.1916391075652556</v>
      </c>
      <c r="CB39" s="44">
        <f>IF(CB36&gt;0,TDIST(CB36/SQRT((1-CB36^2)/22),22,2),TDIST(-CB36/SQRT((1-CB36^2)/22),22,2))</f>
        <v>0.17547076023508412</v>
      </c>
      <c r="CC39" s="44">
        <f>IF(CC36&gt;0,TDIST(CC36/SQRT((1-CC36^2)/22),22,2),TDIST(-CC36/SQRT((1-CC36^2)/22),22,2))</f>
        <v>0.4249724845888513</v>
      </c>
      <c r="CD39" s="44">
        <f>IF(CD36&gt;0,TDIST(CD36/SQRT((1-CD36^2)/22),22,2),TDIST(-CD36/SQRT((1-CD36^2)/22),22,2))</f>
        <v>0.18078383037912038</v>
      </c>
    </row>
    <row r="40" spans="1:82" ht="12.75">
      <c r="A40" s="3" t="s">
        <v>13</v>
      </c>
      <c r="B40" s="44">
        <f>IF(B37&gt;0,TDIST(B37/SQRT((1-B37^2)/12),12,2),TDIST(-B37/SQRT((1-B37^2)/12),12,2))</f>
        <v>0.17532237722206367</v>
      </c>
      <c r="C40" s="44">
        <f>IF(C37&gt;0,TDIST(C37/SQRT((1-C37^2)/12),12,2),TDIST(-C37/SQRT((1-C37^2)/12),12,2))</f>
        <v>0.11941077736473876</v>
      </c>
      <c r="D40" s="44">
        <f>IF(D37&gt;0,TDIST(D37/SQRT((1-D37^2)/12),12,2),TDIST(-D37/SQRT((1-D37^2)/12),12,2))</f>
        <v>0.7299692655677127</v>
      </c>
      <c r="E40" s="44">
        <f>IF(E37&gt;0,TDIST(E37/SQRT((1-E37^2)/12),12,2),TDIST(-E37/SQRT((1-E37^2)/12),12,2))</f>
        <v>0.6270048788487992</v>
      </c>
      <c r="F40" s="44">
        <f aca="true" t="shared" si="36" ref="F40:AK40">IF(F37&gt;0,TDIST(F37/SQRT((1-F37^2)/12),12,2),TDIST(-F37/SQRT((1-F37^2)/12),12,2))</f>
        <v>0.16392359738108686</v>
      </c>
      <c r="G40" s="44">
        <f t="shared" si="36"/>
        <v>0.08806741816914347</v>
      </c>
      <c r="H40" s="44">
        <f t="shared" si="36"/>
        <v>0.23780166639735112</v>
      </c>
      <c r="I40" s="44">
        <f t="shared" si="36"/>
        <v>0.20931088925709995</v>
      </c>
      <c r="J40" s="44">
        <f t="shared" si="36"/>
        <v>0.2403120558780566</v>
      </c>
      <c r="K40" s="44">
        <f t="shared" si="36"/>
        <v>0.17929157954048025</v>
      </c>
      <c r="L40" s="44">
        <f t="shared" si="36"/>
        <v>0.492128206380105</v>
      </c>
      <c r="M40" s="44">
        <f t="shared" si="36"/>
        <v>0.024612195728459546</v>
      </c>
      <c r="N40" s="44">
        <f t="shared" si="36"/>
        <v>0.029028778712057737</v>
      </c>
      <c r="O40" s="44">
        <f t="shared" si="36"/>
        <v>0.2770488252657387</v>
      </c>
      <c r="P40" s="44">
        <f t="shared" si="36"/>
        <v>0.0702570087139419</v>
      </c>
      <c r="Q40" s="44">
        <f t="shared" si="36"/>
        <v>0.2086002769187092</v>
      </c>
      <c r="R40" s="44">
        <f t="shared" si="36"/>
        <v>0.2988314582111177</v>
      </c>
      <c r="S40" s="44">
        <f t="shared" si="36"/>
        <v>0.14515426152265398</v>
      </c>
      <c r="T40" s="44">
        <f t="shared" si="36"/>
        <v>0.441092012006967</v>
      </c>
      <c r="U40" s="44">
        <f t="shared" si="36"/>
        <v>0.22256401975305973</v>
      </c>
      <c r="V40" s="44">
        <f t="shared" si="36"/>
        <v>0.33900301871338756</v>
      </c>
      <c r="W40" s="44">
        <f t="shared" si="36"/>
        <v>0.1148243411169687</v>
      </c>
      <c r="X40" s="44">
        <f t="shared" si="36"/>
        <v>0.2959922816235898</v>
      </c>
      <c r="Z40" s="44">
        <f t="shared" si="36"/>
        <v>0.23337262368859057</v>
      </c>
      <c r="AA40" s="44">
        <f t="shared" si="36"/>
        <v>0.1637413261536088</v>
      </c>
      <c r="AB40" s="44">
        <f t="shared" si="36"/>
        <v>0.08806741816914347</v>
      </c>
      <c r="AC40" s="44">
        <f t="shared" si="36"/>
        <v>0.23780166639735112</v>
      </c>
      <c r="AD40" s="44">
        <f t="shared" si="36"/>
        <v>0.007336001011139362</v>
      </c>
      <c r="AE40" s="44">
        <f t="shared" si="36"/>
        <v>0.05742143153652193</v>
      </c>
      <c r="AF40" s="44">
        <f t="shared" si="36"/>
        <v>0.14739392396472606</v>
      </c>
      <c r="AG40" s="44">
        <f t="shared" si="36"/>
        <v>0.11598419812425027</v>
      </c>
      <c r="AH40" s="44">
        <f t="shared" si="36"/>
        <v>0.2521950628312677</v>
      </c>
      <c r="AI40" s="44">
        <f t="shared" si="36"/>
        <v>0.17538413676083953</v>
      </c>
      <c r="AK40" s="44">
        <f t="shared" si="36"/>
        <v>0.1022066706204332</v>
      </c>
      <c r="AL40" s="44">
        <f>IF(AL37&gt;0,TDIST(AL37/SQRT((1-AL37^2)/12),12,2),TDIST(-AL37/SQRT((1-AL37^2)/12),12,2))</f>
        <v>0.026692059051510748</v>
      </c>
      <c r="AM40" s="44">
        <f>IF(AM37&gt;0,TDIST(AM37/SQRT((1-AM37^2)/12),12,2),TDIST(-AM37/SQRT((1-AM37^2)/12),12,2))</f>
        <v>0.10382921958490371</v>
      </c>
      <c r="AN40" s="44">
        <f>IF(AN37&gt;0,TDIST(AN37/SQRT((1-AN37^2)/12),12,2),TDIST(-AN37/SQRT((1-AN37^2)/12),12,2))</f>
        <v>0.03443713494584523</v>
      </c>
      <c r="AO40" s="44"/>
      <c r="AP40" s="44"/>
      <c r="AQ40" s="44"/>
      <c r="AR40" s="44">
        <f aca="true" t="shared" si="37" ref="AR40:CA40">IF(AR37&gt;0,TDIST(AR37/SQRT((1-AR37^2)/12),12,2),TDIST(-AR37/SQRT((1-AR37^2)/12),12,2))</f>
        <v>0.25129336618975584</v>
      </c>
      <c r="AS40" s="44">
        <f t="shared" si="37"/>
        <v>0.02657634584185002</v>
      </c>
      <c r="AT40" s="44">
        <f t="shared" si="37"/>
        <v>0.5194075955637212</v>
      </c>
      <c r="AU40" s="44">
        <f t="shared" si="37"/>
        <v>0.5241060568390707</v>
      </c>
      <c r="AV40" s="44">
        <f t="shared" si="37"/>
        <v>0.30186506830027204</v>
      </c>
      <c r="AW40" s="44">
        <f t="shared" si="37"/>
        <v>0.08819032690806228</v>
      </c>
      <c r="AX40" s="44">
        <f t="shared" si="37"/>
        <v>0.44939217261974873</v>
      </c>
      <c r="AY40" s="44">
        <f t="shared" si="37"/>
        <v>0.42066380202796105</v>
      </c>
      <c r="AZ40" s="44">
        <f t="shared" si="37"/>
        <v>0.39636752828913935</v>
      </c>
      <c r="BA40" s="44">
        <f t="shared" si="37"/>
        <v>0.3260621599371769</v>
      </c>
      <c r="BB40" s="44">
        <f t="shared" si="37"/>
        <v>0.7650949376194889</v>
      </c>
      <c r="BC40" s="44">
        <f t="shared" si="37"/>
        <v>0.01330016045468508</v>
      </c>
      <c r="BD40" s="44">
        <f t="shared" si="37"/>
        <v>0.0071292330550469865</v>
      </c>
      <c r="BE40" s="44">
        <f t="shared" si="37"/>
        <v>0.1680194895698539</v>
      </c>
      <c r="BF40" s="44">
        <f t="shared" si="37"/>
        <v>0.09111472637315438</v>
      </c>
      <c r="BG40" s="44">
        <f t="shared" si="37"/>
        <v>0.23513437342942056</v>
      </c>
      <c r="BH40" s="44">
        <f t="shared" si="37"/>
        <v>0.26594171296408275</v>
      </c>
      <c r="BI40" s="44">
        <f t="shared" si="37"/>
        <v>0.3672375203453324</v>
      </c>
      <c r="BJ40" s="44">
        <f t="shared" si="37"/>
        <v>0.5416266701354038</v>
      </c>
      <c r="BK40" s="44">
        <f t="shared" si="37"/>
        <v>0.3509202175737143</v>
      </c>
      <c r="BL40" s="44">
        <f t="shared" si="37"/>
        <v>0.327867733029218</v>
      </c>
      <c r="BM40" s="44">
        <f t="shared" si="37"/>
        <v>0.48988545548683393</v>
      </c>
      <c r="BN40" s="44">
        <f t="shared" si="37"/>
        <v>0.6021153509109025</v>
      </c>
      <c r="BO40" s="44"/>
      <c r="BP40" s="44">
        <f t="shared" si="37"/>
        <v>0.21806443699035838</v>
      </c>
      <c r="BQ40" s="44">
        <f t="shared" si="37"/>
        <v>0.30413063112052263</v>
      </c>
      <c r="BR40" s="44">
        <f t="shared" si="37"/>
        <v>0.08819032690806228</v>
      </c>
      <c r="BS40" s="44">
        <f t="shared" si="37"/>
        <v>0.44939217261974873</v>
      </c>
      <c r="BT40" s="44">
        <f t="shared" si="37"/>
        <v>0.004948016565272224</v>
      </c>
      <c r="BU40" s="44">
        <f t="shared" si="37"/>
        <v>0.007706083908984641</v>
      </c>
      <c r="BV40" s="44">
        <f t="shared" si="37"/>
        <v>0.14184848971711805</v>
      </c>
      <c r="BW40" s="44">
        <f t="shared" si="37"/>
        <v>0.15604342669849003</v>
      </c>
      <c r="BX40" s="44">
        <f t="shared" si="37"/>
        <v>0.4148988291363893</v>
      </c>
      <c r="BY40" s="44">
        <f t="shared" si="37"/>
        <v>0.558765531911477</v>
      </c>
      <c r="BZ40" s="44"/>
      <c r="CA40" s="44">
        <f t="shared" si="37"/>
        <v>0.18387197807593403</v>
      </c>
      <c r="CB40" s="44">
        <f>IF(CB37&gt;0,TDIST(CB37/SQRT((1-CB37^2)/12),12,2),TDIST(-CB37/SQRT((1-CB37^2)/12),12,2))</f>
        <v>0.016046877015662105</v>
      </c>
      <c r="CC40" s="44">
        <f>IF(CC37&gt;0,TDIST(CC37/SQRT((1-CC37^2)/12),12,2),TDIST(-CC37/SQRT((1-CC37^2)/12),12,2))</f>
        <v>0.377490854320222</v>
      </c>
      <c r="CD40" s="44">
        <f>IF(CD37&gt;0,TDIST(CD37/SQRT((1-CD37^2)/12),12,2),TDIST(-CD37/SQRT((1-CD37^2)/12),12,2))</f>
        <v>0.05714995968374412</v>
      </c>
    </row>
    <row r="41" spans="41:79" ht="12.75">
      <c r="AO41" s="43"/>
      <c r="AP41" s="43"/>
      <c r="AQ41" s="43"/>
      <c r="AS41" s="43"/>
      <c r="AT41" s="43"/>
      <c r="AU41" s="43"/>
      <c r="AV41" s="43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</row>
    <row r="42" spans="41:79" ht="12.75">
      <c r="AO42" s="43"/>
      <c r="AP42" s="43"/>
      <c r="AQ42" s="43"/>
      <c r="AS42" s="43"/>
      <c r="AT42" s="43"/>
      <c r="AU42" s="43"/>
      <c r="AV42" s="43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</row>
    <row r="43" spans="1:83" ht="16.5" thickBot="1">
      <c r="A43" s="139" t="s">
        <v>123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34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34"/>
      <c r="AK43" s="89"/>
      <c r="AL43" s="89"/>
      <c r="AM43" s="89"/>
      <c r="AN43" s="89"/>
      <c r="AO43" s="43"/>
      <c r="AP43" s="43"/>
      <c r="AQ43" s="43"/>
      <c r="AR43" s="139" t="s">
        <v>124</v>
      </c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34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34"/>
      <c r="CB43" s="89"/>
      <c r="CC43" s="89"/>
      <c r="CD43" s="89"/>
      <c r="CE43" s="89"/>
    </row>
    <row r="44" spans="1:82" s="27" customFormat="1" ht="40.5" customHeight="1">
      <c r="A44" s="72"/>
      <c r="B44" s="42" t="s">
        <v>32</v>
      </c>
      <c r="C44" s="42" t="s">
        <v>33</v>
      </c>
      <c r="D44" s="42" t="s">
        <v>34</v>
      </c>
      <c r="E44" s="42" t="s">
        <v>35</v>
      </c>
      <c r="F44" s="42" t="s">
        <v>36</v>
      </c>
      <c r="G44" s="42" t="s">
        <v>37</v>
      </c>
      <c r="H44" s="42" t="s">
        <v>38</v>
      </c>
      <c r="I44" s="42" t="s">
        <v>39</v>
      </c>
      <c r="J44" s="86" t="s">
        <v>40</v>
      </c>
      <c r="K44" s="42" t="s">
        <v>41</v>
      </c>
      <c r="L44" s="42" t="s">
        <v>42</v>
      </c>
      <c r="M44" s="42" t="s">
        <v>43</v>
      </c>
      <c r="N44" s="42" t="s">
        <v>78</v>
      </c>
      <c r="O44" s="42" t="s">
        <v>34</v>
      </c>
      <c r="P44" s="86" t="s">
        <v>44</v>
      </c>
      <c r="Q44" s="86" t="s">
        <v>45</v>
      </c>
      <c r="R44" s="42" t="s">
        <v>36</v>
      </c>
      <c r="S44" s="42" t="s">
        <v>46</v>
      </c>
      <c r="T44" s="42" t="s">
        <v>47</v>
      </c>
      <c r="U44" s="86" t="s">
        <v>44</v>
      </c>
      <c r="V44" s="42" t="s">
        <v>45</v>
      </c>
      <c r="W44" s="42" t="s">
        <v>36</v>
      </c>
      <c r="X44" s="42" t="s">
        <v>48</v>
      </c>
      <c r="Y44"/>
      <c r="Z44" s="86" t="s">
        <v>79</v>
      </c>
      <c r="AA44" s="42" t="s">
        <v>80</v>
      </c>
      <c r="AB44" s="42" t="s">
        <v>49</v>
      </c>
      <c r="AC44" s="42" t="s">
        <v>50</v>
      </c>
      <c r="AD44" s="42" t="s">
        <v>51</v>
      </c>
      <c r="AE44" s="42" t="s">
        <v>52</v>
      </c>
      <c r="AF44" s="42" t="s">
        <v>53</v>
      </c>
      <c r="AG44" s="42" t="s">
        <v>54</v>
      </c>
      <c r="AH44" s="42" t="s">
        <v>81</v>
      </c>
      <c r="AI44" s="42" t="s">
        <v>82</v>
      </c>
      <c r="AJ44"/>
      <c r="AK44" s="133" t="s">
        <v>56</v>
      </c>
      <c r="AL44" s="133" t="s">
        <v>57</v>
      </c>
      <c r="AM44" s="133" t="s">
        <v>55</v>
      </c>
      <c r="AN44" s="133" t="s">
        <v>30</v>
      </c>
      <c r="AO44" s="64"/>
      <c r="AP44" s="64"/>
      <c r="AQ44" s="65"/>
      <c r="AR44" s="42" t="s">
        <v>32</v>
      </c>
      <c r="AS44" s="42" t="s">
        <v>33</v>
      </c>
      <c r="AT44" s="42" t="s">
        <v>34</v>
      </c>
      <c r="AU44" s="42" t="s">
        <v>35</v>
      </c>
      <c r="AV44" s="42" t="s">
        <v>36</v>
      </c>
      <c r="AW44" s="42" t="s">
        <v>37</v>
      </c>
      <c r="AX44" s="42" t="s">
        <v>38</v>
      </c>
      <c r="AY44" s="42" t="s">
        <v>39</v>
      </c>
      <c r="AZ44" s="86" t="s">
        <v>40</v>
      </c>
      <c r="BA44" s="42" t="s">
        <v>41</v>
      </c>
      <c r="BB44" s="42" t="s">
        <v>42</v>
      </c>
      <c r="BC44" s="42" t="s">
        <v>43</v>
      </c>
      <c r="BD44" s="42" t="s">
        <v>78</v>
      </c>
      <c r="BE44" s="42" t="s">
        <v>34</v>
      </c>
      <c r="BF44" s="86" t="s">
        <v>44</v>
      </c>
      <c r="BG44" s="86" t="s">
        <v>45</v>
      </c>
      <c r="BH44" s="42" t="s">
        <v>36</v>
      </c>
      <c r="BI44" s="42" t="s">
        <v>46</v>
      </c>
      <c r="BJ44" s="42" t="s">
        <v>47</v>
      </c>
      <c r="BK44" s="86" t="s">
        <v>44</v>
      </c>
      <c r="BL44" s="42" t="s">
        <v>45</v>
      </c>
      <c r="BM44" s="42" t="s">
        <v>36</v>
      </c>
      <c r="BN44" s="42" t="s">
        <v>48</v>
      </c>
      <c r="BO44" s="42"/>
      <c r="BP44" s="86" t="s">
        <v>79</v>
      </c>
      <c r="BQ44" s="42" t="s">
        <v>80</v>
      </c>
      <c r="BR44" s="42" t="s">
        <v>49</v>
      </c>
      <c r="BS44" s="42" t="s">
        <v>50</v>
      </c>
      <c r="BT44" s="42" t="s">
        <v>51</v>
      </c>
      <c r="BU44" s="42" t="s">
        <v>52</v>
      </c>
      <c r="BV44" s="42" t="s">
        <v>53</v>
      </c>
      <c r="BW44" s="42" t="s">
        <v>54</v>
      </c>
      <c r="BX44" s="42" t="s">
        <v>81</v>
      </c>
      <c r="BY44" s="42" t="s">
        <v>82</v>
      </c>
      <c r="BZ44" s="42"/>
      <c r="CA44" s="133" t="s">
        <v>56</v>
      </c>
      <c r="CB44" s="133" t="s">
        <v>57</v>
      </c>
      <c r="CC44" s="133" t="s">
        <v>55</v>
      </c>
      <c r="CD44" s="133" t="s">
        <v>30</v>
      </c>
    </row>
    <row r="45" spans="1:83" ht="12.75">
      <c r="A45" s="149">
        <v>1981</v>
      </c>
      <c r="B45" s="24">
        <v>18.72748</v>
      </c>
      <c r="C45" s="24">
        <v>9.90246</v>
      </c>
      <c r="D45" s="24">
        <v>20.58616</v>
      </c>
      <c r="E45" s="24">
        <v>21.99174</v>
      </c>
      <c r="F45" s="24">
        <v>20.4911</v>
      </c>
      <c r="G45" s="24">
        <v>15.32801</v>
      </c>
      <c r="H45" s="24">
        <v>14.21344</v>
      </c>
      <c r="I45" s="24">
        <v>13.1918</v>
      </c>
      <c r="J45" s="24">
        <v>15.0587</v>
      </c>
      <c r="K45" s="24">
        <v>15.48731</v>
      </c>
      <c r="L45" s="24">
        <v>16.50784</v>
      </c>
      <c r="M45" s="24">
        <v>15.01646</v>
      </c>
      <c r="N45" s="24">
        <v>15.65707</v>
      </c>
      <c r="O45" s="24">
        <v>14.52477</v>
      </c>
      <c r="P45" s="24">
        <v>15.213</v>
      </c>
      <c r="Q45" s="24">
        <v>15.88562</v>
      </c>
      <c r="R45" s="24">
        <v>12.57311</v>
      </c>
      <c r="S45" s="24">
        <v>11.96137</v>
      </c>
      <c r="T45" s="24">
        <v>12.42394</v>
      </c>
      <c r="U45" s="24">
        <v>13.0011</v>
      </c>
      <c r="V45" s="24">
        <v>14.5845</v>
      </c>
      <c r="W45" s="24">
        <v>9.43338</v>
      </c>
      <c r="X45" s="24">
        <v>14.76038</v>
      </c>
      <c r="Z45" s="24">
        <v>17.52178</v>
      </c>
      <c r="AA45" s="24">
        <v>19.4584</v>
      </c>
      <c r="AB45" s="24">
        <v>15.32801</v>
      </c>
      <c r="AC45" s="24">
        <v>14.21344</v>
      </c>
      <c r="AD45" s="24">
        <v>16.25618</v>
      </c>
      <c r="AE45" s="24">
        <v>15.7695</v>
      </c>
      <c r="AF45" s="24">
        <v>14.26473</v>
      </c>
      <c r="AG45" s="24">
        <v>12.59083</v>
      </c>
      <c r="AH45" s="24">
        <v>13.36205</v>
      </c>
      <c r="AI45" s="24">
        <v>9.55604</v>
      </c>
      <c r="AK45" s="24">
        <v>17.3134</v>
      </c>
      <c r="AL45" s="24">
        <v>15.02231</v>
      </c>
      <c r="AM45" s="24">
        <v>12.05317</v>
      </c>
      <c r="AN45" s="24">
        <v>14.97569</v>
      </c>
      <c r="AO45" s="24"/>
      <c r="AP45" s="24"/>
      <c r="AQ45" s="43"/>
      <c r="AR45" s="155">
        <f>+B45</f>
        <v>18.72748</v>
      </c>
      <c r="AS45" s="151">
        <f aca="true" t="shared" si="38" ref="AS45:BE45">+C45</f>
        <v>9.90246</v>
      </c>
      <c r="AT45" s="151">
        <f t="shared" si="38"/>
        <v>20.58616</v>
      </c>
      <c r="AU45" s="151">
        <f t="shared" si="38"/>
        <v>21.99174</v>
      </c>
      <c r="AV45" s="151">
        <f t="shared" si="38"/>
        <v>20.4911</v>
      </c>
      <c r="AW45" s="151">
        <f t="shared" si="38"/>
        <v>15.32801</v>
      </c>
      <c r="AX45" s="151">
        <f t="shared" si="38"/>
        <v>14.21344</v>
      </c>
      <c r="AY45" s="151">
        <f t="shared" si="38"/>
        <v>13.1918</v>
      </c>
      <c r="AZ45" s="151">
        <f t="shared" si="38"/>
        <v>15.0587</v>
      </c>
      <c r="BA45" s="151">
        <f t="shared" si="38"/>
        <v>15.48731</v>
      </c>
      <c r="BB45" s="151">
        <f t="shared" si="38"/>
        <v>16.50784</v>
      </c>
      <c r="BC45" s="151">
        <f t="shared" si="38"/>
        <v>15.01646</v>
      </c>
      <c r="BD45" s="151">
        <f t="shared" si="38"/>
        <v>15.65707</v>
      </c>
      <c r="BE45" s="151">
        <f t="shared" si="38"/>
        <v>14.52477</v>
      </c>
      <c r="BF45" s="151">
        <f aca="true" t="shared" si="39" ref="BF45:BN45">+P45</f>
        <v>15.213</v>
      </c>
      <c r="BG45" s="151">
        <f t="shared" si="39"/>
        <v>15.88562</v>
      </c>
      <c r="BH45" s="151">
        <f t="shared" si="39"/>
        <v>12.57311</v>
      </c>
      <c r="BI45" s="151">
        <f t="shared" si="39"/>
        <v>11.96137</v>
      </c>
      <c r="BJ45" s="151">
        <f t="shared" si="39"/>
        <v>12.42394</v>
      </c>
      <c r="BK45" s="151">
        <f t="shared" si="39"/>
        <v>13.0011</v>
      </c>
      <c r="BL45" s="151">
        <f t="shared" si="39"/>
        <v>14.5845</v>
      </c>
      <c r="BM45" s="151">
        <f t="shared" si="39"/>
        <v>9.43338</v>
      </c>
      <c r="BN45" s="151">
        <f t="shared" si="39"/>
        <v>14.76038</v>
      </c>
      <c r="BO45" s="43"/>
      <c r="BP45" s="151">
        <f aca="true" t="shared" si="40" ref="BP45:BY45">+Z45</f>
        <v>17.52178</v>
      </c>
      <c r="BQ45" s="151">
        <f t="shared" si="40"/>
        <v>19.4584</v>
      </c>
      <c r="BR45" s="151">
        <f t="shared" si="40"/>
        <v>15.32801</v>
      </c>
      <c r="BS45" s="151">
        <f t="shared" si="40"/>
        <v>14.21344</v>
      </c>
      <c r="BT45" s="151">
        <f t="shared" si="40"/>
        <v>16.25618</v>
      </c>
      <c r="BU45" s="151">
        <f t="shared" si="40"/>
        <v>15.7695</v>
      </c>
      <c r="BV45" s="151">
        <f t="shared" si="40"/>
        <v>14.26473</v>
      </c>
      <c r="BW45" s="151">
        <f t="shared" si="40"/>
        <v>12.59083</v>
      </c>
      <c r="BX45" s="151">
        <f t="shared" si="40"/>
        <v>13.36205</v>
      </c>
      <c r="BY45" s="151">
        <f t="shared" si="40"/>
        <v>9.55604</v>
      </c>
      <c r="BZ45" s="48"/>
      <c r="CA45" s="151">
        <f>+AK45</f>
        <v>17.3134</v>
      </c>
      <c r="CB45" s="151">
        <f>+AL45</f>
        <v>15.02231</v>
      </c>
      <c r="CC45" s="151">
        <f>+AM45</f>
        <v>12.05317</v>
      </c>
      <c r="CD45" s="151">
        <f>+AN45</f>
        <v>14.97569</v>
      </c>
      <c r="CE45" s="43"/>
    </row>
    <row r="46" spans="1:83" ht="12.75">
      <c r="A46" s="149">
        <v>1982</v>
      </c>
      <c r="B46" s="24">
        <v>10.30597</v>
      </c>
      <c r="C46" s="24">
        <v>1.51538</v>
      </c>
      <c r="D46" s="24">
        <v>11.34976</v>
      </c>
      <c r="E46" s="24">
        <v>13.8541</v>
      </c>
      <c r="F46" s="24">
        <v>11.65962</v>
      </c>
      <c r="G46" s="24">
        <v>10.46921</v>
      </c>
      <c r="H46" s="24">
        <v>11.84397</v>
      </c>
      <c r="I46" s="24">
        <v>14.09365</v>
      </c>
      <c r="J46" s="24">
        <v>10.67329</v>
      </c>
      <c r="K46" s="24">
        <v>9.93948</v>
      </c>
      <c r="L46" s="24">
        <v>10.71565</v>
      </c>
      <c r="M46" s="24">
        <v>6.72298</v>
      </c>
      <c r="N46" s="24">
        <v>6.50778</v>
      </c>
      <c r="O46" s="24">
        <v>4.32446</v>
      </c>
      <c r="P46" s="24">
        <v>7.70036</v>
      </c>
      <c r="Q46" s="24">
        <v>8.77499</v>
      </c>
      <c r="R46" s="24">
        <v>8.01664</v>
      </c>
      <c r="S46" s="24">
        <v>5.74452</v>
      </c>
      <c r="T46" s="24">
        <v>5.90711</v>
      </c>
      <c r="U46" s="24">
        <v>8.52617</v>
      </c>
      <c r="V46" s="24">
        <v>4.95311</v>
      </c>
      <c r="W46" s="24">
        <v>4.86314</v>
      </c>
      <c r="X46" s="24">
        <v>4.50989</v>
      </c>
      <c r="Z46" s="24">
        <v>9.52766</v>
      </c>
      <c r="AA46" s="24">
        <v>11.44697</v>
      </c>
      <c r="AB46" s="24">
        <v>10.46921</v>
      </c>
      <c r="AC46" s="24">
        <v>11.84397</v>
      </c>
      <c r="AD46" s="24">
        <v>9.91058</v>
      </c>
      <c r="AE46" s="24">
        <v>4.23934</v>
      </c>
      <c r="AF46" s="24">
        <v>6.11607</v>
      </c>
      <c r="AG46" s="24">
        <v>8.05005</v>
      </c>
      <c r="AH46" s="24">
        <v>6.13037</v>
      </c>
      <c r="AI46" s="24">
        <v>4.91739</v>
      </c>
      <c r="AK46" s="24">
        <v>10.38065</v>
      </c>
      <c r="AL46" s="24">
        <v>6.73289</v>
      </c>
      <c r="AM46" s="24">
        <v>5.70321</v>
      </c>
      <c r="AN46" s="24">
        <v>7.51501</v>
      </c>
      <c r="AO46" s="24"/>
      <c r="AP46" s="24"/>
      <c r="AQ46" s="43"/>
      <c r="AR46" s="155">
        <f>+(B46-B$5*B45)/(1-B$5)</f>
        <v>4.938919217339803</v>
      </c>
      <c r="AS46" s="151">
        <f aca="true" t="shared" si="41" ref="AS46:AS68">+(C46-C$5*C45)/(1-C$5)</f>
        <v>-7.619578510830476</v>
      </c>
      <c r="AT46" s="151">
        <f aca="true" t="shared" si="42" ref="AT46:AT68">+(D46-D$5*D45)/(1-D$5)</f>
        <v>4.421236871483357</v>
      </c>
      <c r="AU46" s="151">
        <f aca="true" t="shared" si="43" ref="AU46:AU68">+(E46-E$5*E45)/(1-E$5)</f>
        <v>7.387619977972243</v>
      </c>
      <c r="AV46" s="151">
        <f aca="true" t="shared" si="44" ref="AV46:AV68">+(F46-F$5*F45)/(1-F$5)</f>
        <v>7.77776825940097</v>
      </c>
      <c r="AW46" s="151">
        <f aca="true" t="shared" si="45" ref="AW46:AW68">+(G46-G$5*G45)/(1-G$5)</f>
        <v>7.66329667955193</v>
      </c>
      <c r="AX46" s="151">
        <f aca="true" t="shared" si="46" ref="AX46:AX68">+(H46-H$5*H45)/(1-H$5)</f>
        <v>11.40463866331956</v>
      </c>
      <c r="AY46" s="151">
        <f aca="true" t="shared" si="47" ref="AY46:AY68">+(I46-I$5*I45)/(1-I$5)</f>
        <v>14.27399576478204</v>
      </c>
      <c r="AZ46" s="151">
        <f aca="true" t="shared" si="48" ref="AZ46:AZ68">+(J46-J$5*J45)/(1-J$5)</f>
        <v>10.063961546060316</v>
      </c>
      <c r="BA46" s="151">
        <f aca="true" t="shared" si="49" ref="BA46:BA68">+(K46-K$5*K45)/(1-K$5)</f>
        <v>7.728916614038639</v>
      </c>
      <c r="BB46" s="151">
        <f aca="true" t="shared" si="50" ref="BB46:BB68">+(L46-L$5*L45)/(1-L$5)</f>
        <v>9.330890212536222</v>
      </c>
      <c r="BC46" s="151">
        <f aca="true" t="shared" si="51" ref="BC46:BC68">+(M46-M$5*M45)/(1-M$5)</f>
        <v>-1.3799239974320203</v>
      </c>
      <c r="BD46" s="151">
        <f aca="true" t="shared" si="52" ref="BD46:BD68">+(N46-N$5*N45)/(1-N$5)</f>
        <v>-4.537007879512332</v>
      </c>
      <c r="BE46" s="151">
        <f aca="true" t="shared" si="53" ref="BE46:BE68">+(O46-O$5*O45)/(1-O$5)</f>
        <v>-1.6455812982169729</v>
      </c>
      <c r="BF46" s="151">
        <f aca="true" t="shared" si="54" ref="BF46:BF68">+(P46-P$5*P45)/(1-P$5)</f>
        <v>4.575750387988194</v>
      </c>
      <c r="BG46" s="151">
        <f aca="true" t="shared" si="55" ref="BG46:BG68">+(Q46-Q$5*Q45)/(1-Q$5)</f>
        <v>6.407595397856897</v>
      </c>
      <c r="BH46" s="151">
        <f aca="true" t="shared" si="56" ref="BH46:BH68">+(R46-R$5*R45)/(1-R$5)</f>
        <v>5.757463866200948</v>
      </c>
      <c r="BI46" s="151">
        <f aca="true" t="shared" si="57" ref="BI46:BI68">+(S46-S$5*S45)/(1-S$5)</f>
        <v>2.3329199746482208</v>
      </c>
      <c r="BJ46" s="151">
        <f aca="true" t="shared" si="58" ref="BJ46:BJ68">+(T46-T$5*T45)/(1-T$5)</f>
        <v>2.0579439490651144</v>
      </c>
      <c r="BK46" s="151">
        <f aca="true" t="shared" si="59" ref="BK46:BK68">+(U46-U$5*U45)/(1-U$5)</f>
        <v>6.978277868699734</v>
      </c>
      <c r="BL46" s="151">
        <f aca="true" t="shared" si="60" ref="BL46:BL68">+(V46-V$5*V45)/(1-V$5)</f>
        <v>-1.9796021070308747</v>
      </c>
      <c r="BM46" s="151">
        <f aca="true" t="shared" si="61" ref="BM46:BM68">+(W46-W$5*W45)/(1-W$5)</f>
        <v>1.5935637517630306</v>
      </c>
      <c r="BN46" s="151">
        <f aca="true" t="shared" si="62" ref="BN46:BN68">+(X46-X$5*X45)/(1-X$5)</f>
        <v>1.1636280273413857</v>
      </c>
      <c r="BO46" s="43"/>
      <c r="BP46" s="151">
        <f aca="true" t="shared" si="63" ref="BP46:BP68">+(Z46-Z$5*Z45)/(1-Z$5)</f>
        <v>3.451000890895517</v>
      </c>
      <c r="BQ46" s="151">
        <f aca="true" t="shared" si="64" ref="BQ46:BQ68">+(AA46-AA$5*AA45)/(1-AA$5)</f>
        <v>8.212902602094703</v>
      </c>
      <c r="BR46" s="151">
        <f aca="true" t="shared" si="65" ref="BR46:BR68">+(AB46-AB$5*AB45)/(1-AB$5)</f>
        <v>7.66329667955193</v>
      </c>
      <c r="BS46" s="151">
        <f aca="true" t="shared" si="66" ref="BS46:BS68">+(AC46-AC$5*AC45)/(1-AC$5)</f>
        <v>11.40463866331956</v>
      </c>
      <c r="BT46" s="151">
        <f aca="true" t="shared" si="67" ref="BT46:BT68">+(AD46-AD$5*AD45)/(1-AD$5)</f>
        <v>2.4089027728740264</v>
      </c>
      <c r="BU46" s="151">
        <f aca="true" t="shared" si="68" ref="BU46:BU68">+(AE46-AE$5*AE45)/(1-AE$5)</f>
        <v>-9.553059347719891</v>
      </c>
      <c r="BV46" s="151">
        <f aca="true" t="shared" si="69" ref="BV46:BV68">+(AF46-AF$5*AF45)/(1-AF$5)</f>
        <v>2.230553793443505</v>
      </c>
      <c r="BW46" s="151">
        <f aca="true" t="shared" si="70" ref="BW46:BW68">+(AG46-AG$5*AG45)/(1-AG$5)</f>
        <v>5.918085198831478</v>
      </c>
      <c r="BX46" s="151">
        <f aca="true" t="shared" si="71" ref="BX46:BX68">+(AH46-AH$5*AH45)/(1-AH$5)</f>
        <v>2.3612697852208018</v>
      </c>
      <c r="BY46" s="151">
        <f aca="true" t="shared" si="72" ref="BY46:BY68">+(AI46-AI$5*AI45)/(1-AI$5)</f>
        <v>1.837571651226667</v>
      </c>
      <c r="BZ46" s="48"/>
      <c r="CA46" s="151">
        <f aca="true" t="shared" si="73" ref="CA46:CA68">+(AK46-AK$5*AK45)/(1-AK$5)</f>
        <v>6.924446610144676</v>
      </c>
      <c r="CB46" s="151">
        <f aca="true" t="shared" si="74" ref="CB46:CB68">+(AL46-AL$5*AL45)/(1-AL$5)</f>
        <v>-1.2995264790978749</v>
      </c>
      <c r="CC46" s="151">
        <f aca="true" t="shared" si="75" ref="CC46:CC68">+(AM46-AM$5*AM45)/(1-AM$5)</f>
        <v>2.4030737508049445</v>
      </c>
      <c r="CD46" s="151">
        <f aca="true" t="shared" si="76" ref="CD46:CD68">+(AN46-AN$5*AN45)/(1-AN$5)</f>
        <v>2.084399244972718</v>
      </c>
      <c r="CE46" s="43"/>
    </row>
    <row r="47" spans="1:83" ht="12.75">
      <c r="A47" s="149">
        <v>1983</v>
      </c>
      <c r="B47" s="24">
        <v>12.56022</v>
      </c>
      <c r="C47" s="24">
        <v>9.97805</v>
      </c>
      <c r="D47" s="24">
        <v>13.63783</v>
      </c>
      <c r="E47" s="24">
        <v>14.5904</v>
      </c>
      <c r="F47" s="24">
        <v>11.79659</v>
      </c>
      <c r="G47" s="24">
        <v>12.14716</v>
      </c>
      <c r="H47" s="24">
        <v>8.34692</v>
      </c>
      <c r="I47" s="24">
        <v>7.67648</v>
      </c>
      <c r="J47" s="24">
        <v>8.74135</v>
      </c>
      <c r="K47" s="24">
        <v>12.37061</v>
      </c>
      <c r="L47" s="24">
        <v>10.41232</v>
      </c>
      <c r="M47" s="24">
        <v>5.50593</v>
      </c>
      <c r="N47" s="24">
        <v>5.07031</v>
      </c>
      <c r="O47" s="24">
        <v>5.13314</v>
      </c>
      <c r="P47" s="24">
        <v>5.75023</v>
      </c>
      <c r="Q47" s="24">
        <v>7.12522</v>
      </c>
      <c r="R47" s="24">
        <v>6.83891</v>
      </c>
      <c r="S47" s="24">
        <v>6.08021</v>
      </c>
      <c r="T47" s="24">
        <v>6.8119</v>
      </c>
      <c r="U47" s="24">
        <v>8.29078</v>
      </c>
      <c r="V47" s="24">
        <v>6.42564</v>
      </c>
      <c r="W47" s="24">
        <v>4.14255</v>
      </c>
      <c r="X47" s="24">
        <v>5.88831</v>
      </c>
      <c r="Z47" s="24">
        <v>12.92553</v>
      </c>
      <c r="AA47" s="24">
        <v>11.79953</v>
      </c>
      <c r="AB47" s="24">
        <v>12.14716</v>
      </c>
      <c r="AC47" s="24">
        <v>8.34692</v>
      </c>
      <c r="AD47" s="24">
        <v>6.30364</v>
      </c>
      <c r="AE47" s="24">
        <v>4.19561</v>
      </c>
      <c r="AF47" s="24">
        <v>5.54811</v>
      </c>
      <c r="AG47" s="24">
        <v>6.87419</v>
      </c>
      <c r="AH47" s="24">
        <v>7.01044</v>
      </c>
      <c r="AI47" s="24">
        <v>4.24987</v>
      </c>
      <c r="AK47" s="24">
        <v>12.26833</v>
      </c>
      <c r="AL47" s="24">
        <v>5.52064</v>
      </c>
      <c r="AM47" s="24">
        <v>6.07342</v>
      </c>
      <c r="AN47" s="24">
        <v>7.57227</v>
      </c>
      <c r="AO47" s="24"/>
      <c r="AP47" s="24"/>
      <c r="AQ47" s="43"/>
      <c r="AR47" s="155">
        <f aca="true" t="shared" si="77" ref="AR47:AR68">+(B47-B$5*B46)/(1-B$5)</f>
        <v>13.996859536949042</v>
      </c>
      <c r="AS47" s="151">
        <f t="shared" si="41"/>
        <v>19.195338894448337</v>
      </c>
      <c r="AT47" s="151">
        <f t="shared" si="42"/>
        <v>15.354185497235402</v>
      </c>
      <c r="AU47" s="151">
        <f t="shared" si="43"/>
        <v>15.17549214467819</v>
      </c>
      <c r="AV47" s="151">
        <f t="shared" si="44"/>
        <v>11.856794771217265</v>
      </c>
      <c r="AW47" s="151">
        <f t="shared" si="45"/>
        <v>13.116161040595586</v>
      </c>
      <c r="AX47" s="151">
        <f t="shared" si="46"/>
        <v>7.698520294184634</v>
      </c>
      <c r="AY47" s="151">
        <f t="shared" si="47"/>
        <v>6.393218447207015</v>
      </c>
      <c r="AZ47" s="151">
        <f t="shared" si="48"/>
        <v>8.472917626902792</v>
      </c>
      <c r="BA47" s="151">
        <f t="shared" si="49"/>
        <v>13.339307123832603</v>
      </c>
      <c r="BB47" s="151">
        <f t="shared" si="50"/>
        <v>10.339801801126795</v>
      </c>
      <c r="BC47" s="151">
        <f t="shared" si="51"/>
        <v>4.316846610388566</v>
      </c>
      <c r="BD47" s="151">
        <f t="shared" si="52"/>
        <v>3.3350331388268812</v>
      </c>
      <c r="BE47" s="151">
        <f t="shared" si="53"/>
        <v>5.606444536532918</v>
      </c>
      <c r="BF47" s="151">
        <f t="shared" si="54"/>
        <v>4.939144290758963</v>
      </c>
      <c r="BG47" s="151">
        <f t="shared" si="55"/>
        <v>6.575949880084094</v>
      </c>
      <c r="BH47" s="151">
        <f t="shared" si="56"/>
        <v>6.254971225453222</v>
      </c>
      <c r="BI47" s="151">
        <f t="shared" si="57"/>
        <v>6.264425480912414</v>
      </c>
      <c r="BJ47" s="151">
        <f t="shared" si="58"/>
        <v>7.346314270623197</v>
      </c>
      <c r="BK47" s="151">
        <f t="shared" si="59"/>
        <v>8.209357870762945</v>
      </c>
      <c r="BL47" s="151">
        <f t="shared" si="60"/>
        <v>7.485572840323793</v>
      </c>
      <c r="BM47" s="151">
        <f t="shared" si="61"/>
        <v>3.627035727507291</v>
      </c>
      <c r="BN47" s="151">
        <f t="shared" si="62"/>
        <v>6.3382937986625105</v>
      </c>
      <c r="BO47" s="43"/>
      <c r="BP47" s="151">
        <f t="shared" si="63"/>
        <v>15.508390613432482</v>
      </c>
      <c r="BQ47" s="151">
        <f t="shared" si="64"/>
        <v>11.941852007657248</v>
      </c>
      <c r="BR47" s="151">
        <f t="shared" si="65"/>
        <v>13.116161040595586</v>
      </c>
      <c r="BS47" s="151">
        <f t="shared" si="66"/>
        <v>7.698520294184634</v>
      </c>
      <c r="BT47" s="151">
        <f t="shared" si="67"/>
        <v>2.039567310638907</v>
      </c>
      <c r="BU47" s="151">
        <f t="shared" si="68"/>
        <v>4.143300090729376</v>
      </c>
      <c r="BV47" s="151">
        <f t="shared" si="69"/>
        <v>5.277290284282836</v>
      </c>
      <c r="BW47" s="151">
        <f t="shared" si="70"/>
        <v>6.322105967938984</v>
      </c>
      <c r="BX47" s="151">
        <f t="shared" si="71"/>
        <v>7.469126228652365</v>
      </c>
      <c r="BY47" s="151">
        <f t="shared" si="72"/>
        <v>3.8066720126172098</v>
      </c>
      <c r="BZ47" s="48"/>
      <c r="CA47" s="151">
        <f t="shared" si="73"/>
        <v>13.20940042875657</v>
      </c>
      <c r="CB47" s="151">
        <f t="shared" si="74"/>
        <v>4.345974356711761</v>
      </c>
      <c r="CC47" s="151">
        <f t="shared" si="75"/>
        <v>6.265821753840101</v>
      </c>
      <c r="CD47" s="151">
        <f t="shared" si="76"/>
        <v>7.613949414186489</v>
      </c>
      <c r="CE47" s="43"/>
    </row>
    <row r="48" spans="1:83" ht="12.75">
      <c r="A48" s="149">
        <v>1984</v>
      </c>
      <c r="B48" s="24">
        <v>14.33656</v>
      </c>
      <c r="C48" s="24">
        <v>14.6334</v>
      </c>
      <c r="D48" s="24">
        <v>13.35424</v>
      </c>
      <c r="E48" s="24">
        <v>14.80742</v>
      </c>
      <c r="F48" s="24">
        <v>14.26803</v>
      </c>
      <c r="G48" s="24">
        <v>13.82191</v>
      </c>
      <c r="H48" s="24">
        <v>12.73188</v>
      </c>
      <c r="I48" s="24">
        <v>14.45102</v>
      </c>
      <c r="J48" s="24">
        <v>11.67997</v>
      </c>
      <c r="K48" s="24">
        <v>10.87394</v>
      </c>
      <c r="L48" s="24">
        <v>11.84511</v>
      </c>
      <c r="M48" s="24">
        <v>6.91872</v>
      </c>
      <c r="N48" s="24">
        <v>7.82866</v>
      </c>
      <c r="O48" s="24">
        <v>0.98449</v>
      </c>
      <c r="P48" s="24">
        <v>7.5107</v>
      </c>
      <c r="Q48" s="24">
        <v>7.82726</v>
      </c>
      <c r="R48" s="24">
        <v>6.26289</v>
      </c>
      <c r="S48" s="24">
        <v>5.9037</v>
      </c>
      <c r="T48" s="24">
        <v>6.62498</v>
      </c>
      <c r="U48" s="24">
        <v>8.43545</v>
      </c>
      <c r="V48" s="24">
        <v>6.71182</v>
      </c>
      <c r="W48" s="24">
        <v>3.44236</v>
      </c>
      <c r="X48" s="24">
        <v>8.38354</v>
      </c>
      <c r="Z48" s="24">
        <v>13.76856</v>
      </c>
      <c r="AA48" s="24">
        <v>13.86241</v>
      </c>
      <c r="AB48" s="24">
        <v>13.82191</v>
      </c>
      <c r="AC48" s="24">
        <v>12.73188</v>
      </c>
      <c r="AD48" s="24">
        <v>9.50657</v>
      </c>
      <c r="AE48" s="24">
        <v>6.89884</v>
      </c>
      <c r="AF48" s="24">
        <v>4.52626</v>
      </c>
      <c r="AG48" s="24">
        <v>6.30333</v>
      </c>
      <c r="AH48" s="24">
        <v>7.24405</v>
      </c>
      <c r="AI48" s="24">
        <v>3.51975</v>
      </c>
      <c r="AK48" s="24">
        <v>13.79093</v>
      </c>
      <c r="AL48" s="24">
        <v>6.9323</v>
      </c>
      <c r="AM48" s="24">
        <v>5.9985</v>
      </c>
      <c r="AN48" s="24">
        <v>8.82865</v>
      </c>
      <c r="AO48" s="24"/>
      <c r="AP48" s="24"/>
      <c r="AQ48" s="43"/>
      <c r="AR48" s="155">
        <f t="shared" si="77"/>
        <v>15.468626219391846</v>
      </c>
      <c r="AS48" s="151">
        <f t="shared" si="41"/>
        <v>19.703868995573508</v>
      </c>
      <c r="AT48" s="151">
        <f t="shared" si="42"/>
        <v>13.141509945648087</v>
      </c>
      <c r="AU48" s="151">
        <f t="shared" si="43"/>
        <v>14.979872393369634</v>
      </c>
      <c r="AV48" s="151">
        <f t="shared" si="44"/>
        <v>15.354344373784018</v>
      </c>
      <c r="AW48" s="151">
        <f t="shared" si="45"/>
        <v>14.789063069362891</v>
      </c>
      <c r="AX48" s="151">
        <f t="shared" si="46"/>
        <v>13.544910060768977</v>
      </c>
      <c r="AY48" s="151">
        <f t="shared" si="47"/>
        <v>15.805745949267074</v>
      </c>
      <c r="AZ48" s="151">
        <f t="shared" si="48"/>
        <v>12.088274988887298</v>
      </c>
      <c r="BA48" s="151">
        <f t="shared" si="49"/>
        <v>10.277583604280089</v>
      </c>
      <c r="BB48" s="151">
        <f t="shared" si="50"/>
        <v>12.18765228122355</v>
      </c>
      <c r="BC48" s="151">
        <f t="shared" si="51"/>
        <v>8.299045477185933</v>
      </c>
      <c r="BD48" s="151">
        <f t="shared" si="52"/>
        <v>11.158469269074743</v>
      </c>
      <c r="BE48" s="151">
        <f t="shared" si="53"/>
        <v>-1.443633442507909</v>
      </c>
      <c r="BF48" s="151">
        <f t="shared" si="54"/>
        <v>8.242903524148424</v>
      </c>
      <c r="BG48" s="151">
        <f t="shared" si="55"/>
        <v>8.060995366133318</v>
      </c>
      <c r="BH48" s="151">
        <f t="shared" si="56"/>
        <v>5.977289384481641</v>
      </c>
      <c r="BI48" s="151">
        <f t="shared" si="57"/>
        <v>5.806837196413803</v>
      </c>
      <c r="BJ48" s="151">
        <f t="shared" si="58"/>
        <v>6.514575690198954</v>
      </c>
      <c r="BK48" s="151">
        <f t="shared" si="59"/>
        <v>8.485491800572344</v>
      </c>
      <c r="BL48" s="151">
        <f t="shared" si="60"/>
        <v>6.917813480773814</v>
      </c>
      <c r="BM48" s="151">
        <f t="shared" si="61"/>
        <v>2.9414400060274635</v>
      </c>
      <c r="BN48" s="151">
        <f t="shared" si="62"/>
        <v>9.198105280492637</v>
      </c>
      <c r="BO48" s="43"/>
      <c r="BP48" s="151">
        <f t="shared" si="63"/>
        <v>14.409381745076175</v>
      </c>
      <c r="BQ48" s="151">
        <f t="shared" si="64"/>
        <v>14.695156832187374</v>
      </c>
      <c r="BR48" s="151">
        <f t="shared" si="65"/>
        <v>14.789063069362891</v>
      </c>
      <c r="BS48" s="151">
        <f t="shared" si="66"/>
        <v>13.544910060768977</v>
      </c>
      <c r="BT48" s="151">
        <f t="shared" si="67"/>
        <v>13.293027867038356</v>
      </c>
      <c r="BU48" s="151">
        <f t="shared" si="68"/>
        <v>10.132448873488038</v>
      </c>
      <c r="BV48" s="151">
        <f t="shared" si="69"/>
        <v>4.039012435901147</v>
      </c>
      <c r="BW48" s="151">
        <f t="shared" si="70"/>
        <v>6.035302606821943</v>
      </c>
      <c r="BX48" s="151">
        <f t="shared" si="71"/>
        <v>7.365805871550534</v>
      </c>
      <c r="BY48" s="151">
        <f t="shared" si="72"/>
        <v>3.0349889223574995</v>
      </c>
      <c r="BZ48" s="48"/>
      <c r="CA48" s="151">
        <f t="shared" si="73"/>
        <v>14.549996067778833</v>
      </c>
      <c r="CB48" s="151">
        <f t="shared" si="74"/>
        <v>8.30019317550363</v>
      </c>
      <c r="CC48" s="151">
        <f t="shared" si="75"/>
        <v>5.9595633440541835</v>
      </c>
      <c r="CD48" s="151">
        <f t="shared" si="76"/>
        <v>9.743165934258162</v>
      </c>
      <c r="CE48" s="43"/>
    </row>
    <row r="49" spans="1:83" ht="12.75">
      <c r="A49" s="149">
        <v>1985</v>
      </c>
      <c r="B49" s="24">
        <v>13.55226</v>
      </c>
      <c r="C49" s="24">
        <v>16.82727</v>
      </c>
      <c r="D49" s="24">
        <v>12.49771</v>
      </c>
      <c r="E49" s="24">
        <v>14.08386</v>
      </c>
      <c r="F49" s="24">
        <v>12.45252</v>
      </c>
      <c r="G49" s="24">
        <v>12.10517</v>
      </c>
      <c r="H49" s="24">
        <v>12.39337</v>
      </c>
      <c r="I49" s="24">
        <v>14.79952</v>
      </c>
      <c r="J49" s="24">
        <v>10.23725</v>
      </c>
      <c r="K49" s="24">
        <v>9.11478</v>
      </c>
      <c r="L49" s="24">
        <v>9.53023</v>
      </c>
      <c r="M49" s="24">
        <v>7.7183</v>
      </c>
      <c r="N49" s="24">
        <v>10.36274</v>
      </c>
      <c r="O49" s="24">
        <v>-1.29652</v>
      </c>
      <c r="P49" s="24">
        <v>4.82826</v>
      </c>
      <c r="Q49" s="24">
        <v>5.50958</v>
      </c>
      <c r="R49" s="24">
        <v>4.81357</v>
      </c>
      <c r="S49" s="24">
        <v>3.61063</v>
      </c>
      <c r="T49" s="24">
        <v>4.25731</v>
      </c>
      <c r="U49" s="24">
        <v>4.51836</v>
      </c>
      <c r="V49" s="24">
        <v>1.99148</v>
      </c>
      <c r="W49" s="24">
        <v>3.58971</v>
      </c>
      <c r="X49" s="24">
        <v>1.66191</v>
      </c>
      <c r="Z49" s="24">
        <v>13.5921</v>
      </c>
      <c r="AA49" s="24">
        <v>12.15892</v>
      </c>
      <c r="AB49" s="24">
        <v>12.10517</v>
      </c>
      <c r="AC49" s="24">
        <v>12.39337</v>
      </c>
      <c r="AD49" s="24">
        <v>11.37194</v>
      </c>
      <c r="AE49" s="24">
        <v>10.22356</v>
      </c>
      <c r="AF49" s="24">
        <v>2.46225</v>
      </c>
      <c r="AG49" s="24">
        <v>4.82431</v>
      </c>
      <c r="AH49" s="24">
        <v>3.41734</v>
      </c>
      <c r="AI49" s="24">
        <v>3.80119</v>
      </c>
      <c r="AK49" s="24">
        <v>12.66961</v>
      </c>
      <c r="AL49" s="24">
        <v>7.7173</v>
      </c>
      <c r="AM49" s="24">
        <v>3.53486</v>
      </c>
      <c r="AN49" s="24">
        <v>8.30048</v>
      </c>
      <c r="AO49" s="24"/>
      <c r="AP49" s="24"/>
      <c r="AQ49" s="43"/>
      <c r="AR49" s="155">
        <f t="shared" si="77"/>
        <v>13.052423518319115</v>
      </c>
      <c r="AS49" s="151">
        <f t="shared" si="41"/>
        <v>19.21676806466084</v>
      </c>
      <c r="AT49" s="151">
        <f t="shared" si="42"/>
        <v>11.855199074177344</v>
      </c>
      <c r="AU49" s="151">
        <f t="shared" si="43"/>
        <v>13.508891546647625</v>
      </c>
      <c r="AV49" s="151">
        <f t="shared" si="44"/>
        <v>11.654517779129327</v>
      </c>
      <c r="AW49" s="151">
        <f t="shared" si="45"/>
        <v>11.113768083118048</v>
      </c>
      <c r="AX49" s="151">
        <f t="shared" si="46"/>
        <v>12.330605731712284</v>
      </c>
      <c r="AY49" s="151">
        <f t="shared" si="47"/>
        <v>14.869210634835659</v>
      </c>
      <c r="AZ49" s="151">
        <f t="shared" si="48"/>
        <v>10.036792038927294</v>
      </c>
      <c r="BA49" s="151">
        <f t="shared" si="49"/>
        <v>8.41383301964051</v>
      </c>
      <c r="BB49" s="151">
        <f t="shared" si="50"/>
        <v>8.976803275944995</v>
      </c>
      <c r="BC49" s="151">
        <f t="shared" si="51"/>
        <v>8.499506439066195</v>
      </c>
      <c r="BD49" s="151">
        <f t="shared" si="52"/>
        <v>13.421816285669667</v>
      </c>
      <c r="BE49" s="151">
        <f t="shared" si="53"/>
        <v>-2.631550396296377</v>
      </c>
      <c r="BF49" s="151">
        <f t="shared" si="54"/>
        <v>3.7125965571031028</v>
      </c>
      <c r="BG49" s="151">
        <f t="shared" si="55"/>
        <v>4.737937667113177</v>
      </c>
      <c r="BH49" s="151">
        <f t="shared" si="56"/>
        <v>4.094972235889265</v>
      </c>
      <c r="BI49" s="151">
        <f t="shared" si="57"/>
        <v>2.352269629372849</v>
      </c>
      <c r="BJ49" s="151">
        <f t="shared" si="58"/>
        <v>2.858845565019035</v>
      </c>
      <c r="BK49" s="151">
        <f t="shared" si="59"/>
        <v>3.1634264505154364</v>
      </c>
      <c r="BL49" s="151">
        <f t="shared" si="60"/>
        <v>-1.4062391524070903</v>
      </c>
      <c r="BM49" s="151">
        <f t="shared" si="61"/>
        <v>3.695125046075855</v>
      </c>
      <c r="BN49" s="151">
        <f t="shared" si="62"/>
        <v>-0.5323592362298122</v>
      </c>
      <c r="BO49" s="43"/>
      <c r="BP49" s="151">
        <f t="shared" si="63"/>
        <v>13.45796550284552</v>
      </c>
      <c r="BQ49" s="151">
        <f t="shared" si="64"/>
        <v>11.471252321238818</v>
      </c>
      <c r="BR49" s="151">
        <f t="shared" si="65"/>
        <v>11.113768083118048</v>
      </c>
      <c r="BS49" s="151">
        <f t="shared" si="66"/>
        <v>12.330605731712284</v>
      </c>
      <c r="BT49" s="151">
        <f t="shared" si="67"/>
        <v>13.577153636088624</v>
      </c>
      <c r="BU49" s="151">
        <f t="shared" si="68"/>
        <v>14.200596394928718</v>
      </c>
      <c r="BV49" s="151">
        <f t="shared" si="69"/>
        <v>1.4780704777847313</v>
      </c>
      <c r="BW49" s="151">
        <f t="shared" si="70"/>
        <v>4.129887768527815</v>
      </c>
      <c r="BX49" s="151">
        <f t="shared" si="71"/>
        <v>1.4228859474288542</v>
      </c>
      <c r="BY49" s="151">
        <f t="shared" si="72"/>
        <v>3.9880512799152266</v>
      </c>
      <c r="BZ49" s="48"/>
      <c r="CA49" s="151">
        <f t="shared" si="73"/>
        <v>12.110595181188915</v>
      </c>
      <c r="CB49" s="151">
        <f t="shared" si="74"/>
        <v>8.477962016895253</v>
      </c>
      <c r="CC49" s="151">
        <f t="shared" si="75"/>
        <v>2.2544822229798447</v>
      </c>
      <c r="CD49" s="151">
        <f t="shared" si="76"/>
        <v>7.916026346648998</v>
      </c>
      <c r="CE49" s="43"/>
    </row>
    <row r="50" spans="1:83" ht="12.75">
      <c r="A50" s="149">
        <v>1986</v>
      </c>
      <c r="B50" s="24">
        <v>12.4734</v>
      </c>
      <c r="C50" s="24">
        <v>17.11553</v>
      </c>
      <c r="D50" s="24">
        <v>14.33993</v>
      </c>
      <c r="E50" s="24">
        <v>11.63973</v>
      </c>
      <c r="F50" s="24">
        <v>10.92635</v>
      </c>
      <c r="G50" s="24">
        <v>10.29745</v>
      </c>
      <c r="H50" s="24">
        <v>15.22803</v>
      </c>
      <c r="I50" s="24">
        <v>19.38814</v>
      </c>
      <c r="J50" s="24">
        <v>12.32273</v>
      </c>
      <c r="K50" s="24">
        <v>11.06912</v>
      </c>
      <c r="L50" s="24">
        <v>11.50116</v>
      </c>
      <c r="M50" s="24">
        <v>12.14216</v>
      </c>
      <c r="N50" s="24">
        <v>18.24001</v>
      </c>
      <c r="O50" s="24">
        <v>-1.25418</v>
      </c>
      <c r="P50" s="24">
        <v>1.17899</v>
      </c>
      <c r="Q50" s="24">
        <v>1.69959</v>
      </c>
      <c r="R50" s="24">
        <v>3.62985</v>
      </c>
      <c r="S50" s="24">
        <v>9.1513</v>
      </c>
      <c r="T50" s="24">
        <v>10.08347</v>
      </c>
      <c r="U50" s="24">
        <v>9.00349</v>
      </c>
      <c r="V50" s="24">
        <v>9.54492</v>
      </c>
      <c r="W50" s="24">
        <v>8.06748</v>
      </c>
      <c r="X50" s="24">
        <v>10.89053</v>
      </c>
      <c r="Z50" s="24">
        <v>13.41221</v>
      </c>
      <c r="AA50" s="24">
        <v>10.89464</v>
      </c>
      <c r="AB50" s="24">
        <v>10.29745</v>
      </c>
      <c r="AC50" s="24">
        <v>15.22803</v>
      </c>
      <c r="AD50" s="24">
        <v>21.70016</v>
      </c>
      <c r="AE50" s="24">
        <v>15.58292</v>
      </c>
      <c r="AF50" s="24">
        <v>1.28278</v>
      </c>
      <c r="AG50" s="24">
        <v>3.63848</v>
      </c>
      <c r="AH50" s="24">
        <v>9.72052</v>
      </c>
      <c r="AI50" s="24">
        <v>8.11983</v>
      </c>
      <c r="AK50" s="24">
        <v>11.7089</v>
      </c>
      <c r="AL50" s="24">
        <v>12.13716</v>
      </c>
      <c r="AM50" s="24">
        <v>9.24032</v>
      </c>
      <c r="AN50" s="24">
        <v>11.26952</v>
      </c>
      <c r="AO50" s="24"/>
      <c r="AP50" s="24"/>
      <c r="AQ50" s="43"/>
      <c r="AR50" s="155">
        <f t="shared" si="77"/>
        <v>11.785839644745327</v>
      </c>
      <c r="AS50" s="151">
        <f t="shared" si="41"/>
        <v>17.429494233121897</v>
      </c>
      <c r="AT50" s="151">
        <f t="shared" si="42"/>
        <v>15.72183895563379</v>
      </c>
      <c r="AU50" s="151">
        <f t="shared" si="43"/>
        <v>9.697530810033536</v>
      </c>
      <c r="AV50" s="151">
        <f t="shared" si="44"/>
        <v>10.255526347458181</v>
      </c>
      <c r="AW50" s="151">
        <f t="shared" si="45"/>
        <v>9.2535079510084</v>
      </c>
      <c r="AX50" s="151">
        <f t="shared" si="46"/>
        <v>15.753613766342085</v>
      </c>
      <c r="AY50" s="151">
        <f t="shared" si="47"/>
        <v>20.305740691017526</v>
      </c>
      <c r="AZ50" s="151">
        <f t="shared" si="48"/>
        <v>12.61249590652234</v>
      </c>
      <c r="BA50" s="151">
        <f t="shared" si="49"/>
        <v>11.847837525180063</v>
      </c>
      <c r="BB50" s="151">
        <f t="shared" si="50"/>
        <v>11.97235735504291</v>
      </c>
      <c r="BC50" s="151">
        <f t="shared" si="51"/>
        <v>16.464364054037585</v>
      </c>
      <c r="BD50" s="151">
        <f t="shared" si="52"/>
        <v>27.749248008593693</v>
      </c>
      <c r="BE50" s="151">
        <f t="shared" si="53"/>
        <v>-1.2293992287718212</v>
      </c>
      <c r="BF50" s="151">
        <f t="shared" si="54"/>
        <v>-0.33879124851268266</v>
      </c>
      <c r="BG50" s="151">
        <f t="shared" si="55"/>
        <v>0.4311018688190486</v>
      </c>
      <c r="BH50" s="151">
        <f t="shared" si="56"/>
        <v>3.0429412805086797</v>
      </c>
      <c r="BI50" s="151">
        <f t="shared" si="57"/>
        <v>12.19183498354727</v>
      </c>
      <c r="BJ50" s="151">
        <f t="shared" si="58"/>
        <v>13.524691771829982</v>
      </c>
      <c r="BK50" s="151">
        <f t="shared" si="59"/>
        <v>10.554910342856482</v>
      </c>
      <c r="BL50" s="151">
        <f t="shared" si="60"/>
        <v>14.981915588147848</v>
      </c>
      <c r="BM50" s="151">
        <f t="shared" si="61"/>
        <v>11.270902673003617</v>
      </c>
      <c r="BN50" s="151">
        <f t="shared" si="62"/>
        <v>13.903203556690144</v>
      </c>
      <c r="BO50" s="43"/>
      <c r="BP50" s="151">
        <f t="shared" si="63"/>
        <v>13.275468218898789</v>
      </c>
      <c r="BQ50" s="151">
        <f t="shared" si="64"/>
        <v>10.384273345130184</v>
      </c>
      <c r="BR50" s="151">
        <f t="shared" si="65"/>
        <v>9.2535079510084</v>
      </c>
      <c r="BS50" s="151">
        <f t="shared" si="66"/>
        <v>15.753613766342085</v>
      </c>
      <c r="BT50" s="151">
        <f t="shared" si="67"/>
        <v>33.91003341949492</v>
      </c>
      <c r="BU50" s="151">
        <f t="shared" si="68"/>
        <v>21.9937966372883</v>
      </c>
      <c r="BV50" s="151">
        <f t="shared" si="69"/>
        <v>0.7203746719893591</v>
      </c>
      <c r="BW50" s="151">
        <f t="shared" si="70"/>
        <v>3.0817149023362354</v>
      </c>
      <c r="BX50" s="151">
        <f t="shared" si="71"/>
        <v>13.005692614356825</v>
      </c>
      <c r="BY50" s="151">
        <f t="shared" si="72"/>
        <v>10.987178628102242</v>
      </c>
      <c r="BZ50" s="48"/>
      <c r="CA50" s="151">
        <f t="shared" si="73"/>
        <v>11.229954536992116</v>
      </c>
      <c r="CB50" s="151">
        <f t="shared" si="74"/>
        <v>16.41998754394222</v>
      </c>
      <c r="CC50" s="151">
        <f t="shared" si="75"/>
        <v>12.205503302624333</v>
      </c>
      <c r="CD50" s="151">
        <f t="shared" si="76"/>
        <v>13.430676966403357</v>
      </c>
      <c r="CE50" s="43"/>
    </row>
    <row r="51" spans="1:83" ht="12.75">
      <c r="A51" s="149">
        <v>1987</v>
      </c>
      <c r="B51" s="24">
        <v>22.00869</v>
      </c>
      <c r="C51" s="24">
        <v>32.92079</v>
      </c>
      <c r="D51" s="24">
        <v>23.34876</v>
      </c>
      <c r="E51" s="24">
        <v>19.66765</v>
      </c>
      <c r="F51" s="24">
        <v>18.54982</v>
      </c>
      <c r="G51" s="24">
        <v>20.05574</v>
      </c>
      <c r="H51" s="24">
        <v>18.67318</v>
      </c>
      <c r="I51" s="24">
        <v>19.08393</v>
      </c>
      <c r="J51" s="24">
        <v>18.36068</v>
      </c>
      <c r="K51" s="24">
        <v>17.27549</v>
      </c>
      <c r="L51" s="24">
        <v>14.98413</v>
      </c>
      <c r="M51" s="24">
        <v>30.78855</v>
      </c>
      <c r="N51" s="24">
        <v>39.3497</v>
      </c>
      <c r="O51" s="24">
        <v>13.2603</v>
      </c>
      <c r="P51" s="24">
        <v>13.21391</v>
      </c>
      <c r="Q51" s="24">
        <v>13.75865</v>
      </c>
      <c r="R51" s="24">
        <v>15.75354</v>
      </c>
      <c r="S51" s="24">
        <v>25.19931</v>
      </c>
      <c r="T51" s="24">
        <v>25.69097</v>
      </c>
      <c r="U51" s="24">
        <v>24.67635</v>
      </c>
      <c r="V51" s="24">
        <v>29.21464</v>
      </c>
      <c r="W51" s="24">
        <v>22.07091</v>
      </c>
      <c r="X51" s="24">
        <v>23.2427</v>
      </c>
      <c r="Z51" s="24">
        <v>23.76737</v>
      </c>
      <c r="AA51" s="24">
        <v>18.25476</v>
      </c>
      <c r="AB51" s="24">
        <v>20.05574</v>
      </c>
      <c r="AC51" s="24">
        <v>18.67318</v>
      </c>
      <c r="AD51" s="24">
        <v>40.99399</v>
      </c>
      <c r="AE51" s="24">
        <v>38.55378</v>
      </c>
      <c r="AF51" s="24">
        <v>14.98951</v>
      </c>
      <c r="AG51" s="24">
        <v>15.7881</v>
      </c>
      <c r="AH51" s="24">
        <v>26.34587</v>
      </c>
      <c r="AI51" s="24">
        <v>21.84346</v>
      </c>
      <c r="AK51" s="24">
        <v>20.83998</v>
      </c>
      <c r="AL51" s="24">
        <v>30.74473</v>
      </c>
      <c r="AM51" s="24">
        <v>25.09762</v>
      </c>
      <c r="AN51" s="24">
        <v>25.97177</v>
      </c>
      <c r="AO51" s="24"/>
      <c r="AP51" s="24"/>
      <c r="AQ51" s="43"/>
      <c r="AR51" s="155">
        <f t="shared" si="77"/>
        <v>28.08555574704441</v>
      </c>
      <c r="AS51" s="151">
        <f t="shared" si="41"/>
        <v>50.13540990977652</v>
      </c>
      <c r="AT51" s="151">
        <f t="shared" si="42"/>
        <v>30.106575492602587</v>
      </c>
      <c r="AU51" s="151">
        <f t="shared" si="43"/>
        <v>26.04694231305846</v>
      </c>
      <c r="AV51" s="151">
        <f t="shared" si="44"/>
        <v>21.90069440484545</v>
      </c>
      <c r="AW51" s="151">
        <f t="shared" si="45"/>
        <v>25.69106475010192</v>
      </c>
      <c r="AX51" s="151">
        <f t="shared" si="46"/>
        <v>19.31195675368948</v>
      </c>
      <c r="AY51" s="151">
        <f t="shared" si="47"/>
        <v>19.023096174968845</v>
      </c>
      <c r="AZ51" s="151">
        <f t="shared" si="48"/>
        <v>19.199619743026332</v>
      </c>
      <c r="BA51" s="151">
        <f t="shared" si="49"/>
        <v>19.748452272046727</v>
      </c>
      <c r="BB51" s="151">
        <f t="shared" si="50"/>
        <v>15.816816220055404</v>
      </c>
      <c r="BC51" s="151">
        <f t="shared" si="51"/>
        <v>49.00646432169325</v>
      </c>
      <c r="BD51" s="151">
        <f t="shared" si="52"/>
        <v>64.83277554490707</v>
      </c>
      <c r="BE51" s="151">
        <f t="shared" si="53"/>
        <v>21.755340348983935</v>
      </c>
      <c r="BF51" s="151">
        <f t="shared" si="54"/>
        <v>18.21939764639236</v>
      </c>
      <c r="BG51" s="151">
        <f t="shared" si="55"/>
        <v>17.773561976986542</v>
      </c>
      <c r="BH51" s="151">
        <f t="shared" si="56"/>
        <v>21.764673860549554</v>
      </c>
      <c r="BI51" s="151">
        <f t="shared" si="57"/>
        <v>34.00592288640479</v>
      </c>
      <c r="BJ51" s="151">
        <f t="shared" si="58"/>
        <v>34.909540860367116</v>
      </c>
      <c r="BK51" s="151">
        <f t="shared" si="59"/>
        <v>30.097640761860116</v>
      </c>
      <c r="BL51" s="151">
        <f t="shared" si="60"/>
        <v>43.37298121408305</v>
      </c>
      <c r="BM51" s="151">
        <f t="shared" si="61"/>
        <v>32.089045179301095</v>
      </c>
      <c r="BN51" s="151">
        <f t="shared" si="62"/>
        <v>27.27505325831395</v>
      </c>
      <c r="BO51" s="43"/>
      <c r="BP51" s="151">
        <f t="shared" si="63"/>
        <v>31.63875263376511</v>
      </c>
      <c r="BQ51" s="151">
        <f t="shared" si="64"/>
        <v>21.225905492960774</v>
      </c>
      <c r="BR51" s="151">
        <f t="shared" si="65"/>
        <v>25.69106475010192</v>
      </c>
      <c r="BS51" s="151">
        <f t="shared" si="66"/>
        <v>19.31195675368948</v>
      </c>
      <c r="BT51" s="151">
        <f t="shared" si="67"/>
        <v>63.80287885763991</v>
      </c>
      <c r="BU51" s="151">
        <f t="shared" si="68"/>
        <v>66.03156647309014</v>
      </c>
      <c r="BV51" s="151">
        <f t="shared" si="69"/>
        <v>21.525274353144454</v>
      </c>
      <c r="BW51" s="151">
        <f t="shared" si="70"/>
        <v>21.492530117198612</v>
      </c>
      <c r="BX51" s="151">
        <f t="shared" si="71"/>
        <v>35.01088425060005</v>
      </c>
      <c r="BY51" s="151">
        <f t="shared" si="72"/>
        <v>30.955224734518918</v>
      </c>
      <c r="BZ51" s="48"/>
      <c r="CA51" s="151">
        <f t="shared" si="73"/>
        <v>25.392123038338344</v>
      </c>
      <c r="CB51" s="151">
        <f t="shared" si="74"/>
        <v>48.77539461875104</v>
      </c>
      <c r="CC51" s="151">
        <f t="shared" si="75"/>
        <v>33.338813731040936</v>
      </c>
      <c r="CD51" s="151">
        <f t="shared" si="76"/>
        <v>36.67350187606221</v>
      </c>
      <c r="CE51" s="43"/>
    </row>
    <row r="52" spans="1:83" ht="12.75">
      <c r="A52" s="149">
        <v>1988</v>
      </c>
      <c r="B52" s="24">
        <v>26.07995</v>
      </c>
      <c r="C52" s="24">
        <v>34.84027</v>
      </c>
      <c r="D52" s="24">
        <v>27.12898</v>
      </c>
      <c r="E52" s="24">
        <v>25.02677</v>
      </c>
      <c r="F52" s="24">
        <v>22.75828</v>
      </c>
      <c r="G52" s="24">
        <v>23.23426</v>
      </c>
      <c r="H52" s="24">
        <v>25.54269</v>
      </c>
      <c r="I52" s="24">
        <v>24.94524</v>
      </c>
      <c r="J52" s="24">
        <v>26.10615</v>
      </c>
      <c r="K52" s="24">
        <v>23.12036</v>
      </c>
      <c r="L52" s="24">
        <v>16.95493</v>
      </c>
      <c r="M52" s="24">
        <v>31.19382</v>
      </c>
      <c r="N52" s="24">
        <v>31.80241</v>
      </c>
      <c r="O52" s="24">
        <v>32.76103</v>
      </c>
      <c r="P52" s="24">
        <v>26.38789</v>
      </c>
      <c r="Q52" s="24">
        <v>29.24714</v>
      </c>
      <c r="R52" s="24">
        <v>30.40039</v>
      </c>
      <c r="S52" s="24">
        <v>39.56918</v>
      </c>
      <c r="T52" s="24">
        <v>40.73742</v>
      </c>
      <c r="U52" s="24">
        <v>35.2849</v>
      </c>
      <c r="V52" s="24">
        <v>44.18202</v>
      </c>
      <c r="W52" s="24">
        <v>38.82991</v>
      </c>
      <c r="X52" s="24">
        <v>34.63679</v>
      </c>
      <c r="Z52" s="24">
        <v>27.75955</v>
      </c>
      <c r="AA52" s="24">
        <v>22.60006</v>
      </c>
      <c r="AB52" s="24">
        <v>23.23426</v>
      </c>
      <c r="AC52" s="24">
        <v>25.54269</v>
      </c>
      <c r="AD52" s="24">
        <v>20.21245</v>
      </c>
      <c r="AE52" s="24">
        <v>42.87017</v>
      </c>
      <c r="AF52" s="24">
        <v>31.11942</v>
      </c>
      <c r="AG52" s="24">
        <v>30.38362</v>
      </c>
      <c r="AH52" s="24">
        <v>39.6619</v>
      </c>
      <c r="AI52" s="24">
        <v>38.21533</v>
      </c>
      <c r="AK52" s="24">
        <v>24.84829</v>
      </c>
      <c r="AL52" s="24">
        <v>31.13713</v>
      </c>
      <c r="AM52" s="24">
        <v>39.30866</v>
      </c>
      <c r="AN52" s="24">
        <v>29.51232</v>
      </c>
      <c r="AO52" s="24"/>
      <c r="AP52" s="24"/>
      <c r="AQ52" s="43"/>
      <c r="AR52" s="155">
        <f t="shared" si="77"/>
        <v>28.674574855805336</v>
      </c>
      <c r="AS52" s="151">
        <f t="shared" si="41"/>
        <v>36.93091062371754</v>
      </c>
      <c r="AT52" s="151">
        <f t="shared" si="42"/>
        <v>29.964645594915897</v>
      </c>
      <c r="AU52" s="151">
        <f t="shared" si="43"/>
        <v>29.285331747097366</v>
      </c>
      <c r="AV52" s="151">
        <f t="shared" si="44"/>
        <v>24.608096539950424</v>
      </c>
      <c r="AW52" s="151">
        <f t="shared" si="45"/>
        <v>25.069826725798674</v>
      </c>
      <c r="AX52" s="151">
        <f t="shared" si="46"/>
        <v>26.816388764128543</v>
      </c>
      <c r="AY52" s="151">
        <f t="shared" si="47"/>
        <v>26.117344490297285</v>
      </c>
      <c r="AZ52" s="151">
        <f t="shared" si="48"/>
        <v>27.18234019889502</v>
      </c>
      <c r="BA52" s="151">
        <f t="shared" si="49"/>
        <v>25.449280608184456</v>
      </c>
      <c r="BB52" s="151">
        <f t="shared" si="50"/>
        <v>17.426096275473288</v>
      </c>
      <c r="BC52" s="151">
        <f t="shared" si="51"/>
        <v>31.589777294530073</v>
      </c>
      <c r="BD52" s="151">
        <f t="shared" si="52"/>
        <v>22.691515371546355</v>
      </c>
      <c r="BE52" s="151">
        <f t="shared" si="53"/>
        <v>44.174424636572674</v>
      </c>
      <c r="BF52" s="151">
        <f t="shared" si="54"/>
        <v>31.86712826197598</v>
      </c>
      <c r="BG52" s="151">
        <f t="shared" si="55"/>
        <v>34.40383745456415</v>
      </c>
      <c r="BH52" s="151">
        <f t="shared" si="56"/>
        <v>37.66254995174656</v>
      </c>
      <c r="BI52" s="151">
        <f t="shared" si="57"/>
        <v>47.454885599508074</v>
      </c>
      <c r="BJ52" s="151">
        <f t="shared" si="58"/>
        <v>49.62460664244567</v>
      </c>
      <c r="BK52" s="151">
        <f t="shared" si="59"/>
        <v>38.954430265167375</v>
      </c>
      <c r="BL52" s="151">
        <f t="shared" si="60"/>
        <v>54.95559853191822</v>
      </c>
      <c r="BM52" s="151">
        <f t="shared" si="61"/>
        <v>50.81939596664581</v>
      </c>
      <c r="BN52" s="151">
        <f t="shared" si="62"/>
        <v>38.35637902257841</v>
      </c>
      <c r="BO52" s="43"/>
      <c r="BP52" s="151">
        <f t="shared" si="63"/>
        <v>30.794170066021614</v>
      </c>
      <c r="BQ52" s="151">
        <f t="shared" si="64"/>
        <v>24.354177937012228</v>
      </c>
      <c r="BR52" s="151">
        <f t="shared" si="65"/>
        <v>25.069826725798674</v>
      </c>
      <c r="BS52" s="151">
        <f t="shared" si="66"/>
        <v>26.816388764128543</v>
      </c>
      <c r="BT52" s="151">
        <f t="shared" si="67"/>
        <v>-4.3551882631441305</v>
      </c>
      <c r="BU52" s="151">
        <f t="shared" si="68"/>
        <v>48.0334439372658</v>
      </c>
      <c r="BV52" s="151">
        <f t="shared" si="69"/>
        <v>38.810626494724</v>
      </c>
      <c r="BW52" s="151">
        <f t="shared" si="70"/>
        <v>37.236437113965266</v>
      </c>
      <c r="BX52" s="151">
        <f t="shared" si="71"/>
        <v>46.60212018853244</v>
      </c>
      <c r="BY52" s="151">
        <f t="shared" si="72"/>
        <v>49.085386078758184</v>
      </c>
      <c r="BZ52" s="48"/>
      <c r="CA52" s="151">
        <f t="shared" si="73"/>
        <v>26.84656407732732</v>
      </c>
      <c r="CB52" s="151">
        <f t="shared" si="74"/>
        <v>31.517364108827636</v>
      </c>
      <c r="CC52" s="151">
        <f t="shared" si="75"/>
        <v>46.694276325577</v>
      </c>
      <c r="CD52" s="151">
        <f t="shared" si="76"/>
        <v>32.089477699929745</v>
      </c>
      <c r="CE52" s="43"/>
    </row>
    <row r="53" spans="1:83" ht="12.75">
      <c r="A53" s="149">
        <v>1989</v>
      </c>
      <c r="B53" s="24">
        <v>9.09551</v>
      </c>
      <c r="C53" s="24">
        <v>10.75736</v>
      </c>
      <c r="D53" s="24">
        <v>7.71134</v>
      </c>
      <c r="E53" s="24">
        <v>7.52982</v>
      </c>
      <c r="F53" s="24">
        <v>9.78804</v>
      </c>
      <c r="G53" s="24">
        <v>11.8389</v>
      </c>
      <c r="H53" s="24">
        <v>9.84637</v>
      </c>
      <c r="I53" s="24">
        <v>9.36374</v>
      </c>
      <c r="J53" s="24">
        <v>10.31861</v>
      </c>
      <c r="K53" s="24">
        <v>6.95623</v>
      </c>
      <c r="L53" s="24">
        <v>10.64231</v>
      </c>
      <c r="M53" s="24">
        <v>16.51425</v>
      </c>
      <c r="N53" s="24">
        <v>13.35247</v>
      </c>
      <c r="O53" s="24">
        <v>21.31938</v>
      </c>
      <c r="P53" s="24">
        <v>15.14454</v>
      </c>
      <c r="Q53" s="24">
        <v>24.50598</v>
      </c>
      <c r="R53" s="24">
        <v>33.60738</v>
      </c>
      <c r="S53" s="24">
        <v>28.61141</v>
      </c>
      <c r="T53" s="24">
        <v>26.71687</v>
      </c>
      <c r="U53" s="24">
        <v>24.7246</v>
      </c>
      <c r="V53" s="24">
        <v>31.74643</v>
      </c>
      <c r="W53" s="24">
        <v>32.5761</v>
      </c>
      <c r="X53" s="24">
        <v>29.72022</v>
      </c>
      <c r="Z53" s="24">
        <v>8.45465</v>
      </c>
      <c r="AA53" s="24">
        <v>9.82082</v>
      </c>
      <c r="AB53" s="24">
        <v>11.8389</v>
      </c>
      <c r="AC53" s="24">
        <v>9.84637</v>
      </c>
      <c r="AD53" s="24">
        <v>5.75836</v>
      </c>
      <c r="AE53" s="24">
        <v>20.37859</v>
      </c>
      <c r="AF53" s="24">
        <v>18.83508</v>
      </c>
      <c r="AG53" s="24">
        <v>33.59479</v>
      </c>
      <c r="AH53" s="24">
        <v>27.44552</v>
      </c>
      <c r="AI53" s="24">
        <v>32.58197</v>
      </c>
      <c r="AK53" s="24">
        <v>9.85151</v>
      </c>
      <c r="AL53" s="24">
        <v>16.5423</v>
      </c>
      <c r="AM53" s="24">
        <v>28.68267</v>
      </c>
      <c r="AN53" s="24">
        <v>15.38558</v>
      </c>
      <c r="AO53" s="24"/>
      <c r="AP53" s="24"/>
      <c r="AQ53" s="43"/>
      <c r="AR53" s="155">
        <f t="shared" si="77"/>
        <v>-1.728718908479021</v>
      </c>
      <c r="AS53" s="151">
        <f t="shared" si="41"/>
        <v>-15.473030513750238</v>
      </c>
      <c r="AT53" s="151">
        <f t="shared" si="42"/>
        <v>-6.854461377290928</v>
      </c>
      <c r="AU53" s="151">
        <f t="shared" si="43"/>
        <v>-6.373925756929353</v>
      </c>
      <c r="AV53" s="151">
        <f t="shared" si="44"/>
        <v>4.08700815482941</v>
      </c>
      <c r="AW53" s="151">
        <f t="shared" si="45"/>
        <v>5.2581820418002145</v>
      </c>
      <c r="AX53" s="151">
        <f t="shared" si="46"/>
        <v>6.936062949662188</v>
      </c>
      <c r="AY53" s="151">
        <f t="shared" si="47"/>
        <v>6.247858718244353</v>
      </c>
      <c r="AZ53" s="151">
        <f t="shared" si="48"/>
        <v>8.125018673371263</v>
      </c>
      <c r="BA53" s="151">
        <f t="shared" si="49"/>
        <v>0.5155434714078145</v>
      </c>
      <c r="BB53" s="151">
        <f t="shared" si="50"/>
        <v>9.133129132393861</v>
      </c>
      <c r="BC53" s="151">
        <f t="shared" si="51"/>
        <v>2.1720020614285995</v>
      </c>
      <c r="BD53" s="151">
        <f t="shared" si="52"/>
        <v>-8.919823663194611</v>
      </c>
      <c r="BE53" s="151">
        <f t="shared" si="53"/>
        <v>14.622806756662863</v>
      </c>
      <c r="BF53" s="151">
        <f t="shared" si="54"/>
        <v>10.468277130860399</v>
      </c>
      <c r="BG53" s="151">
        <f t="shared" si="55"/>
        <v>22.927470558235093</v>
      </c>
      <c r="BH53" s="151">
        <f t="shared" si="56"/>
        <v>35.19746075754525</v>
      </c>
      <c r="BI53" s="151">
        <f t="shared" si="57"/>
        <v>22.598151129382405</v>
      </c>
      <c r="BJ53" s="151">
        <f t="shared" si="58"/>
        <v>18.43563125732371</v>
      </c>
      <c r="BK53" s="151">
        <f t="shared" si="59"/>
        <v>21.071759559105903</v>
      </c>
      <c r="BL53" s="151">
        <f t="shared" si="60"/>
        <v>22.79524379000621</v>
      </c>
      <c r="BM53" s="151">
        <f t="shared" si="61"/>
        <v>28.102087992537186</v>
      </c>
      <c r="BN53" s="151">
        <f t="shared" si="62"/>
        <v>28.1152107539138</v>
      </c>
      <c r="BO53" s="43"/>
      <c r="BP53" s="151">
        <f t="shared" si="63"/>
        <v>-6.219797773532434</v>
      </c>
      <c r="BQ53" s="151">
        <f t="shared" si="64"/>
        <v>4.66207512498926</v>
      </c>
      <c r="BR53" s="151">
        <f t="shared" si="65"/>
        <v>5.2581820418002145</v>
      </c>
      <c r="BS53" s="151">
        <f t="shared" si="66"/>
        <v>6.936062949662188</v>
      </c>
      <c r="BT53" s="151">
        <f t="shared" si="67"/>
        <v>-11.329057705469811</v>
      </c>
      <c r="BU53" s="151">
        <f t="shared" si="68"/>
        <v>-6.525880824445613</v>
      </c>
      <c r="BV53" s="151">
        <f t="shared" si="69"/>
        <v>12.977552239994035</v>
      </c>
      <c r="BW53" s="151">
        <f t="shared" si="70"/>
        <v>35.10248282162279</v>
      </c>
      <c r="BX53" s="151">
        <f t="shared" si="71"/>
        <v>21.078429575392672</v>
      </c>
      <c r="BY53" s="151">
        <f t="shared" si="72"/>
        <v>28.84171680278836</v>
      </c>
      <c r="BZ53" s="48"/>
      <c r="CA53" s="151">
        <f t="shared" si="73"/>
        <v>2.3751230146169253</v>
      </c>
      <c r="CB53" s="151">
        <f t="shared" si="74"/>
        <v>2.399965192301508</v>
      </c>
      <c r="CC53" s="151">
        <f t="shared" si="75"/>
        <v>23.16023918428082</v>
      </c>
      <c r="CD53" s="151">
        <f t="shared" si="76"/>
        <v>5.102760447697244</v>
      </c>
      <c r="CE53" s="43"/>
    </row>
    <row r="54" spans="1:83" ht="12.75">
      <c r="A54" s="149">
        <v>1990</v>
      </c>
      <c r="B54" s="24">
        <v>-8.74087</v>
      </c>
      <c r="C54" s="24">
        <v>-10.0999</v>
      </c>
      <c r="D54" s="24">
        <v>-10.12591</v>
      </c>
      <c r="E54" s="24">
        <v>-9.88439</v>
      </c>
      <c r="F54" s="24">
        <v>-7.02349</v>
      </c>
      <c r="G54" s="24">
        <v>-6.70689</v>
      </c>
      <c r="H54" s="24">
        <v>-12.80508</v>
      </c>
      <c r="I54" s="24">
        <v>-13.74637</v>
      </c>
      <c r="J54" s="24">
        <v>-11.56793</v>
      </c>
      <c r="K54" s="24">
        <v>-6.52124</v>
      </c>
      <c r="L54" s="24">
        <v>-5.41938</v>
      </c>
      <c r="M54" s="24">
        <v>-9.9113</v>
      </c>
      <c r="N54" s="24">
        <v>-11.98164</v>
      </c>
      <c r="O54" s="24">
        <v>-6.33647</v>
      </c>
      <c r="P54" s="24">
        <v>-10.77433</v>
      </c>
      <c r="Q54" s="24">
        <v>-8.04385</v>
      </c>
      <c r="R54" s="24">
        <v>-0.58245</v>
      </c>
      <c r="S54" s="24">
        <v>-3.8811</v>
      </c>
      <c r="T54" s="24">
        <v>-3.91203</v>
      </c>
      <c r="U54" s="24">
        <v>-8.70449</v>
      </c>
      <c r="V54" s="24">
        <v>-3.73644</v>
      </c>
      <c r="W54" s="24">
        <v>2.08983</v>
      </c>
      <c r="X54" s="24">
        <v>1.20939</v>
      </c>
      <c r="Z54" s="24">
        <v>-9.55882</v>
      </c>
      <c r="AA54" s="24">
        <v>-6.89309</v>
      </c>
      <c r="AB54" s="24">
        <v>-6.70689</v>
      </c>
      <c r="AC54" s="24">
        <v>-12.80508</v>
      </c>
      <c r="AD54" s="24">
        <v>-14.52339</v>
      </c>
      <c r="AE54" s="24">
        <v>-10.0971</v>
      </c>
      <c r="AF54" s="24">
        <v>-8.75026</v>
      </c>
      <c r="AG54" s="24">
        <v>-0.67916</v>
      </c>
      <c r="AH54" s="24">
        <v>-5.37309</v>
      </c>
      <c r="AI54" s="24">
        <v>2.28966</v>
      </c>
      <c r="AK54" s="24">
        <v>-8.2477</v>
      </c>
      <c r="AL54" s="24">
        <v>-9.90032</v>
      </c>
      <c r="AM54" s="24">
        <v>-3.49798</v>
      </c>
      <c r="AN54" s="24">
        <v>-8.40933</v>
      </c>
      <c r="AO54" s="24"/>
      <c r="AP54" s="24"/>
      <c r="AQ54" s="43"/>
      <c r="AR54" s="155">
        <f t="shared" si="77"/>
        <v>-20.108042542551715</v>
      </c>
      <c r="AS54" s="151">
        <f t="shared" si="41"/>
        <v>-32.81700830820787</v>
      </c>
      <c r="AT54" s="151">
        <f t="shared" si="42"/>
        <v>-23.50620959444518</v>
      </c>
      <c r="AU54" s="151">
        <f t="shared" si="43"/>
        <v>-23.722387387989144</v>
      </c>
      <c r="AV54" s="151">
        <f t="shared" si="44"/>
        <v>-14.412949863197655</v>
      </c>
      <c r="AW54" s="151">
        <f t="shared" si="45"/>
        <v>-17.416917002394133</v>
      </c>
      <c r="AX54" s="151">
        <f t="shared" si="46"/>
        <v>-17.004960904274025</v>
      </c>
      <c r="AY54" s="151">
        <f t="shared" si="47"/>
        <v>-18.367770967064402</v>
      </c>
      <c r="AZ54" s="151">
        <f t="shared" si="48"/>
        <v>-14.608943629350291</v>
      </c>
      <c r="BA54" s="151">
        <f t="shared" si="49"/>
        <v>-11.891412070411787</v>
      </c>
      <c r="BB54" s="151">
        <f t="shared" si="50"/>
        <v>-9.259306250815166</v>
      </c>
      <c r="BC54" s="151">
        <f t="shared" si="51"/>
        <v>-35.72961688619732</v>
      </c>
      <c r="BD54" s="151">
        <f t="shared" si="52"/>
        <v>-42.56432686053588</v>
      </c>
      <c r="BE54" s="151">
        <f t="shared" si="53"/>
        <v>-22.52289635736501</v>
      </c>
      <c r="BF54" s="151">
        <f t="shared" si="54"/>
        <v>-21.55434213082011</v>
      </c>
      <c r="BG54" s="151">
        <f t="shared" si="55"/>
        <v>-18.880905484911423</v>
      </c>
      <c r="BH54" s="151">
        <f t="shared" si="56"/>
        <v>-17.534355302711717</v>
      </c>
      <c r="BI54" s="151">
        <f t="shared" si="57"/>
        <v>-21.71190626679796</v>
      </c>
      <c r="BJ54" s="151">
        <f t="shared" si="58"/>
        <v>-22.002991718731273</v>
      </c>
      <c r="BK54" s="151">
        <f t="shared" si="59"/>
        <v>-20.26771565213946</v>
      </c>
      <c r="BL54" s="151">
        <f t="shared" si="60"/>
        <v>-29.277148292489727</v>
      </c>
      <c r="BM54" s="151">
        <f t="shared" si="61"/>
        <v>-19.720224677509112</v>
      </c>
      <c r="BN54" s="151">
        <f t="shared" si="62"/>
        <v>-8.097941282498146</v>
      </c>
      <c r="BO54" s="43"/>
      <c r="BP54" s="151">
        <f t="shared" si="63"/>
        <v>-23.251598762650588</v>
      </c>
      <c r="BQ54" s="151">
        <f t="shared" si="64"/>
        <v>-13.640189010104727</v>
      </c>
      <c r="BR54" s="151">
        <f t="shared" si="65"/>
        <v>-17.416917002394133</v>
      </c>
      <c r="BS54" s="151">
        <f t="shared" si="66"/>
        <v>-17.004960904274025</v>
      </c>
      <c r="BT54" s="151">
        <f t="shared" si="67"/>
        <v>-38.500183699770254</v>
      </c>
      <c r="BU54" s="151">
        <f t="shared" si="68"/>
        <v>-46.552178409780396</v>
      </c>
      <c r="BV54" s="151">
        <f t="shared" si="69"/>
        <v>-21.903746049653705</v>
      </c>
      <c r="BW54" s="151">
        <f t="shared" si="70"/>
        <v>-16.771297253293458</v>
      </c>
      <c r="BX54" s="151">
        <f t="shared" si="71"/>
        <v>-22.47791626440257</v>
      </c>
      <c r="BY54" s="151">
        <f t="shared" si="72"/>
        <v>-17.82283224768627</v>
      </c>
      <c r="BZ54" s="48"/>
      <c r="CA54" s="151">
        <f t="shared" si="73"/>
        <v>-17.27075015408075</v>
      </c>
      <c r="CB54" s="151">
        <f t="shared" si="74"/>
        <v>-35.523118294515555</v>
      </c>
      <c r="CC54" s="151">
        <f t="shared" si="75"/>
        <v>-20.2225782002499</v>
      </c>
      <c r="CD54" s="151">
        <f t="shared" si="76"/>
        <v>-25.72958688823355</v>
      </c>
      <c r="CE54" s="43"/>
    </row>
    <row r="55" spans="1:83" ht="12.75">
      <c r="A55" s="149">
        <v>1991</v>
      </c>
      <c r="B55" s="24">
        <v>1.28769</v>
      </c>
      <c r="C55" s="24">
        <v>-7.23878</v>
      </c>
      <c r="D55" s="24">
        <v>2.32038</v>
      </c>
      <c r="E55" s="24">
        <v>1.17092</v>
      </c>
      <c r="F55" s="24">
        <v>4.75678</v>
      </c>
      <c r="G55" s="24">
        <v>2.61618</v>
      </c>
      <c r="H55" s="24">
        <v>14.18728</v>
      </c>
      <c r="I55" s="24">
        <v>14.39764</v>
      </c>
      <c r="J55" s="24">
        <v>13.88664</v>
      </c>
      <c r="K55" s="24">
        <v>7.65107</v>
      </c>
      <c r="L55" s="24">
        <v>11.02529</v>
      </c>
      <c r="M55" s="24">
        <v>-11.30814</v>
      </c>
      <c r="N55" s="24">
        <v>-17.46965</v>
      </c>
      <c r="O55" s="24">
        <v>-2.56435</v>
      </c>
      <c r="P55" s="24">
        <v>-5.27533</v>
      </c>
      <c r="Q55" s="24">
        <v>0.00773</v>
      </c>
      <c r="R55" s="24">
        <v>4.32978</v>
      </c>
      <c r="S55" s="24">
        <v>8.70782</v>
      </c>
      <c r="T55" s="24">
        <v>7.52082</v>
      </c>
      <c r="U55" s="24">
        <v>6.73828</v>
      </c>
      <c r="V55" s="24">
        <v>7.32315</v>
      </c>
      <c r="W55" s="24">
        <v>13.54109</v>
      </c>
      <c r="X55" s="24">
        <v>13.47911</v>
      </c>
      <c r="Z55" s="24">
        <v>-0.56037</v>
      </c>
      <c r="AA55" s="24">
        <v>5.65051</v>
      </c>
      <c r="AB55" s="24">
        <v>2.61618</v>
      </c>
      <c r="AC55" s="24">
        <v>14.18728</v>
      </c>
      <c r="AD55" s="24">
        <v>-18.017</v>
      </c>
      <c r="AE55" s="24">
        <v>-17.5893</v>
      </c>
      <c r="AF55" s="24">
        <v>-3.21804</v>
      </c>
      <c r="AG55" s="24">
        <v>4.10271</v>
      </c>
      <c r="AH55" s="24">
        <v>7.36368</v>
      </c>
      <c r="AI55" s="24">
        <v>13.98264</v>
      </c>
      <c r="AK55" s="24">
        <v>3.3591</v>
      </c>
      <c r="AL55" s="24">
        <v>-10.82544</v>
      </c>
      <c r="AM55" s="24">
        <v>9.10657</v>
      </c>
      <c r="AN55" s="24">
        <v>-3.09637</v>
      </c>
      <c r="AO55" s="24"/>
      <c r="AP55" s="24"/>
      <c r="AQ55" s="43"/>
      <c r="AR55" s="155">
        <f t="shared" si="77"/>
        <v>7.678918033565802</v>
      </c>
      <c r="AS55" s="151">
        <f t="shared" si="41"/>
        <v>-4.122533047007147</v>
      </c>
      <c r="AT55" s="151">
        <f t="shared" si="42"/>
        <v>11.656745697590557</v>
      </c>
      <c r="AU55" s="151">
        <f t="shared" si="43"/>
        <v>9.955892209673037</v>
      </c>
      <c r="AV55" s="151">
        <f t="shared" si="44"/>
        <v>9.934763939750365</v>
      </c>
      <c r="AW55" s="151">
        <f t="shared" si="45"/>
        <v>8.000169112634765</v>
      </c>
      <c r="AX55" s="151">
        <f t="shared" si="46"/>
        <v>19.192023507602823</v>
      </c>
      <c r="AY55" s="151">
        <f t="shared" si="47"/>
        <v>20.025685692169798</v>
      </c>
      <c r="AZ55" s="151">
        <f t="shared" si="48"/>
        <v>17.423411655056075</v>
      </c>
      <c r="BA55" s="151">
        <f t="shared" si="49"/>
        <v>13.298104891208636</v>
      </c>
      <c r="BB55" s="151">
        <f t="shared" si="50"/>
        <v>14.956776662922309</v>
      </c>
      <c r="BC55" s="151">
        <f t="shared" si="51"/>
        <v>-12.672881992477578</v>
      </c>
      <c r="BD55" s="151">
        <f t="shared" si="52"/>
        <v>-24.094634707080278</v>
      </c>
      <c r="BE55" s="151">
        <f t="shared" si="53"/>
        <v>-0.35660217843083136</v>
      </c>
      <c r="BF55" s="151">
        <f t="shared" si="54"/>
        <v>-2.988220773888684</v>
      </c>
      <c r="BG55" s="151">
        <f t="shared" si="55"/>
        <v>2.68840204041321</v>
      </c>
      <c r="BH55" s="151">
        <f t="shared" si="56"/>
        <v>6.765348055914276</v>
      </c>
      <c r="BI55" s="151">
        <f t="shared" si="57"/>
        <v>15.616199612046536</v>
      </c>
      <c r="BJ55" s="151">
        <f t="shared" si="58"/>
        <v>14.2736335743039</v>
      </c>
      <c r="BK55" s="151">
        <f t="shared" si="59"/>
        <v>12.079981919019922</v>
      </c>
      <c r="BL55" s="151">
        <f t="shared" si="60"/>
        <v>15.283886040363603</v>
      </c>
      <c r="BM55" s="151">
        <f t="shared" si="61"/>
        <v>21.73338793367221</v>
      </c>
      <c r="BN55" s="151">
        <f t="shared" si="62"/>
        <v>17.48454754017309</v>
      </c>
      <c r="BO55" s="43"/>
      <c r="BP55" s="151">
        <f t="shared" si="63"/>
        <v>6.2797216123752495</v>
      </c>
      <c r="BQ55" s="151">
        <f t="shared" si="64"/>
        <v>10.71413132757384</v>
      </c>
      <c r="BR55" s="151">
        <f t="shared" si="65"/>
        <v>8.000169112634765</v>
      </c>
      <c r="BS55" s="151">
        <f t="shared" si="66"/>
        <v>19.192023507602823</v>
      </c>
      <c r="BT55" s="151">
        <f t="shared" si="67"/>
        <v>-22.147095590245137</v>
      </c>
      <c r="BU55" s="151">
        <f t="shared" si="68"/>
        <v>-26.551483906640236</v>
      </c>
      <c r="BV55" s="151">
        <f t="shared" si="69"/>
        <v>-0.5801178792788041</v>
      </c>
      <c r="BW55" s="151">
        <f t="shared" si="70"/>
        <v>6.347870197975618</v>
      </c>
      <c r="BX55" s="151">
        <f t="shared" si="71"/>
        <v>14.001993993787508</v>
      </c>
      <c r="BY55" s="151">
        <f t="shared" si="72"/>
        <v>21.74616049752398</v>
      </c>
      <c r="BZ55" s="48"/>
      <c r="CA55" s="151">
        <f t="shared" si="73"/>
        <v>9.145470705040967</v>
      </c>
      <c r="CB55" s="151">
        <f t="shared" si="74"/>
        <v>-11.721877764420555</v>
      </c>
      <c r="CC55" s="151">
        <f t="shared" si="75"/>
        <v>15.657277777653956</v>
      </c>
      <c r="CD55" s="151">
        <f t="shared" si="76"/>
        <v>0.770920611181522</v>
      </c>
      <c r="CE55" s="43"/>
    </row>
    <row r="56" spans="1:83" ht="12.75">
      <c r="A56" s="149">
        <v>1992</v>
      </c>
      <c r="B56" s="24">
        <v>0.59133</v>
      </c>
      <c r="C56" s="24">
        <v>-4.86239</v>
      </c>
      <c r="D56" s="24">
        <v>-0.38202</v>
      </c>
      <c r="E56" s="24">
        <v>-0.30361</v>
      </c>
      <c r="F56" s="24">
        <v>3.24341</v>
      </c>
      <c r="G56" s="24">
        <v>3.81917</v>
      </c>
      <c r="H56" s="24">
        <v>14.69234</v>
      </c>
      <c r="I56" s="24">
        <v>15.05172</v>
      </c>
      <c r="J56" s="24">
        <v>14.29141</v>
      </c>
      <c r="K56" s="24">
        <v>7.35045</v>
      </c>
      <c r="L56" s="24">
        <v>8.70851</v>
      </c>
      <c r="M56" s="24">
        <v>-7.16115</v>
      </c>
      <c r="N56" s="24">
        <v>-10.34178</v>
      </c>
      <c r="O56" s="24">
        <v>-5.42177</v>
      </c>
      <c r="P56" s="24">
        <v>-6.42542</v>
      </c>
      <c r="Q56" s="24">
        <v>-2.71553</v>
      </c>
      <c r="R56" s="24">
        <v>1.05649</v>
      </c>
      <c r="S56" s="24">
        <v>0.91755</v>
      </c>
      <c r="T56" s="24">
        <v>0.27177</v>
      </c>
      <c r="U56" s="24">
        <v>-2.32989</v>
      </c>
      <c r="V56" s="24">
        <v>-1.66102</v>
      </c>
      <c r="W56" s="24">
        <v>6.99849</v>
      </c>
      <c r="X56" s="24">
        <v>6.21602</v>
      </c>
      <c r="Z56" s="24">
        <v>-0.76408</v>
      </c>
      <c r="AA56" s="24">
        <v>4.19086</v>
      </c>
      <c r="AB56" s="24">
        <v>3.81917</v>
      </c>
      <c r="AC56" s="24">
        <v>14.69234</v>
      </c>
      <c r="AD56" s="24">
        <v>-7.1769</v>
      </c>
      <c r="AE56" s="24">
        <v>-12.58882</v>
      </c>
      <c r="AF56" s="24">
        <v>-6.85676</v>
      </c>
      <c r="AG56" s="24">
        <v>1.23464</v>
      </c>
      <c r="AH56" s="24">
        <v>-0.94091</v>
      </c>
      <c r="AI56" s="24">
        <v>7.03319</v>
      </c>
      <c r="AK56" s="24">
        <v>3.57037</v>
      </c>
      <c r="AL56" s="24">
        <v>-7.1859</v>
      </c>
      <c r="AM56" s="24">
        <v>1.38874</v>
      </c>
      <c r="AN56" s="24">
        <v>-1.63817</v>
      </c>
      <c r="AO56" s="24"/>
      <c r="AP56" s="24"/>
      <c r="AQ56" s="43"/>
      <c r="AR56" s="155">
        <f t="shared" si="77"/>
        <v>0.14753791484980064</v>
      </c>
      <c r="AS56" s="151">
        <f t="shared" si="41"/>
        <v>-2.274096570635736</v>
      </c>
      <c r="AT56" s="151">
        <f t="shared" si="42"/>
        <v>-2.409177864807001</v>
      </c>
      <c r="AU56" s="151">
        <f t="shared" si="43"/>
        <v>-1.4753279411820366</v>
      </c>
      <c r="AV56" s="151">
        <f t="shared" si="44"/>
        <v>2.5782125507989195</v>
      </c>
      <c r="AW56" s="151">
        <f t="shared" si="45"/>
        <v>4.513885910382363</v>
      </c>
      <c r="AX56" s="151">
        <f t="shared" si="46"/>
        <v>14.785984859358347</v>
      </c>
      <c r="AY56" s="151">
        <f t="shared" si="47"/>
        <v>15.1825184230511</v>
      </c>
      <c r="AZ56" s="151">
        <f t="shared" si="48"/>
        <v>14.347650551807282</v>
      </c>
      <c r="BA56" s="151">
        <f t="shared" si="49"/>
        <v>7.23066630708084</v>
      </c>
      <c r="BB56" s="151">
        <f t="shared" si="50"/>
        <v>8.154629036081287</v>
      </c>
      <c r="BC56" s="151">
        <f t="shared" si="51"/>
        <v>-3.109453746037778</v>
      </c>
      <c r="BD56" s="151">
        <f t="shared" si="52"/>
        <v>-1.737198422332268</v>
      </c>
      <c r="BE56" s="151">
        <f t="shared" si="53"/>
        <v>-7.0941618593014475</v>
      </c>
      <c r="BF56" s="151">
        <f t="shared" si="54"/>
        <v>-6.903758143273024</v>
      </c>
      <c r="BG56" s="151">
        <f t="shared" si="55"/>
        <v>-3.622205080018541</v>
      </c>
      <c r="BH56" s="151">
        <f t="shared" si="56"/>
        <v>-0.5664634369815015</v>
      </c>
      <c r="BI56" s="151">
        <f t="shared" si="57"/>
        <v>-3.357490467358421</v>
      </c>
      <c r="BJ56" s="151">
        <f t="shared" si="58"/>
        <v>-4.009881840163013</v>
      </c>
      <c r="BK56" s="151">
        <f t="shared" si="59"/>
        <v>-5.466598057621715</v>
      </c>
      <c r="BL56" s="151">
        <f t="shared" si="60"/>
        <v>-8.127860625353513</v>
      </c>
      <c r="BM56" s="151">
        <f t="shared" si="61"/>
        <v>2.317875948721469</v>
      </c>
      <c r="BN56" s="151">
        <f t="shared" si="62"/>
        <v>3.8449917007677623</v>
      </c>
      <c r="BO56" s="43"/>
      <c r="BP56" s="151">
        <f t="shared" si="63"/>
        <v>-0.9189283419207709</v>
      </c>
      <c r="BQ56" s="151">
        <f t="shared" si="64"/>
        <v>3.601626058325109</v>
      </c>
      <c r="BR56" s="151">
        <f t="shared" si="65"/>
        <v>4.513885910382363</v>
      </c>
      <c r="BS56" s="151">
        <f t="shared" si="66"/>
        <v>14.785984859358347</v>
      </c>
      <c r="BT56" s="151">
        <f t="shared" si="67"/>
        <v>5.6381106073134495</v>
      </c>
      <c r="BU56" s="151">
        <f t="shared" si="68"/>
        <v>-6.607236302090659</v>
      </c>
      <c r="BV56" s="151">
        <f t="shared" si="69"/>
        <v>-8.59180668634122</v>
      </c>
      <c r="BW56" s="151">
        <f t="shared" si="70"/>
        <v>-0.11196218889428768</v>
      </c>
      <c r="BX56" s="151">
        <f t="shared" si="71"/>
        <v>-5.269203280766458</v>
      </c>
      <c r="BY56" s="151">
        <f t="shared" si="72"/>
        <v>2.4191226261125887</v>
      </c>
      <c r="BZ56" s="48"/>
      <c r="CA56" s="151">
        <f t="shared" si="73"/>
        <v>3.675695028332874</v>
      </c>
      <c r="CB56" s="151">
        <f t="shared" si="74"/>
        <v>-3.659199570737654</v>
      </c>
      <c r="CC56" s="151">
        <f t="shared" si="75"/>
        <v>-2.6222916518726214</v>
      </c>
      <c r="CD56" s="151">
        <f t="shared" si="76"/>
        <v>-0.5767497805319642</v>
      </c>
      <c r="CE56" s="43"/>
    </row>
    <row r="57" spans="1:83" ht="12.75">
      <c r="A57" s="149">
        <v>1993</v>
      </c>
      <c r="B57" s="24">
        <v>19.23428</v>
      </c>
      <c r="C57" s="24">
        <v>18.75532</v>
      </c>
      <c r="D57" s="24">
        <v>16.33116</v>
      </c>
      <c r="E57" s="24">
        <v>17.48806</v>
      </c>
      <c r="F57" s="24">
        <v>21.00023</v>
      </c>
      <c r="G57" s="24">
        <v>17.22302</v>
      </c>
      <c r="H57" s="24">
        <v>35.44792</v>
      </c>
      <c r="I57" s="24">
        <v>36.46265</v>
      </c>
      <c r="J57" s="24">
        <v>33.90059</v>
      </c>
      <c r="K57" s="24">
        <v>23.10322</v>
      </c>
      <c r="L57" s="24">
        <v>28.08004</v>
      </c>
      <c r="M57" s="24">
        <v>19.4488</v>
      </c>
      <c r="N57" s="24">
        <v>20.24324</v>
      </c>
      <c r="O57" s="24">
        <v>16.12199</v>
      </c>
      <c r="P57" s="24">
        <v>20.18094</v>
      </c>
      <c r="Q57" s="24">
        <v>17.85745</v>
      </c>
      <c r="R57" s="24">
        <v>18.40674</v>
      </c>
      <c r="S57" s="24">
        <v>20.09857</v>
      </c>
      <c r="T57" s="24">
        <v>20.32676</v>
      </c>
      <c r="U57" s="24">
        <v>20.94835</v>
      </c>
      <c r="V57" s="24">
        <v>16.2539</v>
      </c>
      <c r="W57" s="24">
        <v>22.35685</v>
      </c>
      <c r="X57" s="24">
        <v>30.94759</v>
      </c>
      <c r="Z57" s="24">
        <v>18.41445</v>
      </c>
      <c r="AA57" s="24">
        <v>21.49249</v>
      </c>
      <c r="AB57" s="24">
        <v>17.22302</v>
      </c>
      <c r="AC57" s="24">
        <v>35.44792</v>
      </c>
      <c r="AD57" s="24">
        <v>20.56981</v>
      </c>
      <c r="AE57" s="24">
        <v>20.02092</v>
      </c>
      <c r="AF57" s="24">
        <v>18.03966</v>
      </c>
      <c r="AG57" s="24">
        <v>18.69036</v>
      </c>
      <c r="AH57" s="24">
        <v>19.96311</v>
      </c>
      <c r="AI57" s="24">
        <v>24.00962</v>
      </c>
      <c r="AK57" s="24">
        <v>20.74919</v>
      </c>
      <c r="AL57" s="24">
        <v>19.29772</v>
      </c>
      <c r="AM57" s="24">
        <v>21.23303</v>
      </c>
      <c r="AN57" s="24">
        <v>20.18608</v>
      </c>
      <c r="AO57" s="24"/>
      <c r="AP57" s="24"/>
      <c r="AQ57" s="43"/>
      <c r="AR57" s="155">
        <f t="shared" si="77"/>
        <v>31.11548175462535</v>
      </c>
      <c r="AS57" s="151">
        <f t="shared" si="41"/>
        <v>44.479028486246236</v>
      </c>
      <c r="AT57" s="151">
        <f t="shared" si="42"/>
        <v>28.86825823968882</v>
      </c>
      <c r="AU57" s="151">
        <f t="shared" si="43"/>
        <v>31.626001542450958</v>
      </c>
      <c r="AV57" s="151">
        <f t="shared" si="44"/>
        <v>28.80518937538257</v>
      </c>
      <c r="AW57" s="151">
        <f t="shared" si="45"/>
        <v>24.963622877312893</v>
      </c>
      <c r="AX57" s="151">
        <f t="shared" si="46"/>
        <v>39.29628132340896</v>
      </c>
      <c r="AY57" s="151">
        <f t="shared" si="47"/>
        <v>40.7442606287572</v>
      </c>
      <c r="AZ57" s="151">
        <f t="shared" si="48"/>
        <v>36.62517705854754</v>
      </c>
      <c r="BA57" s="151">
        <f t="shared" si="49"/>
        <v>29.379997873415462</v>
      </c>
      <c r="BB57" s="151">
        <f t="shared" si="50"/>
        <v>32.71126165634211</v>
      </c>
      <c r="BC57" s="151">
        <f t="shared" si="51"/>
        <v>45.44727955580362</v>
      </c>
      <c r="BD57" s="151">
        <f t="shared" si="52"/>
        <v>57.16469053776221</v>
      </c>
      <c r="BE57" s="151">
        <f t="shared" si="53"/>
        <v>28.73113000837964</v>
      </c>
      <c r="BF57" s="151">
        <f t="shared" si="54"/>
        <v>31.24688861415513</v>
      </c>
      <c r="BG57" s="151">
        <f t="shared" si="55"/>
        <v>24.706964290857215</v>
      </c>
      <c r="BH57" s="151">
        <f t="shared" si="56"/>
        <v>27.00929213256029</v>
      </c>
      <c r="BI57" s="151">
        <f t="shared" si="57"/>
        <v>30.624474327476605</v>
      </c>
      <c r="BJ57" s="151">
        <f t="shared" si="58"/>
        <v>32.17224110965586</v>
      </c>
      <c r="BK57" s="151">
        <f t="shared" si="59"/>
        <v>29.000365232979984</v>
      </c>
      <c r="BL57" s="151">
        <f t="shared" si="60"/>
        <v>29.149129326243624</v>
      </c>
      <c r="BM57" s="151">
        <f t="shared" si="61"/>
        <v>33.34430997319019</v>
      </c>
      <c r="BN57" s="151">
        <f t="shared" si="62"/>
        <v>39.02118572226739</v>
      </c>
      <c r="BO57" s="43"/>
      <c r="BP57" s="151">
        <f t="shared" si="63"/>
        <v>32.99283874369331</v>
      </c>
      <c r="BQ57" s="151">
        <f t="shared" si="64"/>
        <v>28.476840797999888</v>
      </c>
      <c r="BR57" s="151">
        <f t="shared" si="65"/>
        <v>24.963622877312893</v>
      </c>
      <c r="BS57" s="151">
        <f t="shared" si="66"/>
        <v>39.29628132340896</v>
      </c>
      <c r="BT57" s="151">
        <f t="shared" si="67"/>
        <v>53.37157225016837</v>
      </c>
      <c r="BU57" s="151">
        <f t="shared" si="68"/>
        <v>59.02875308343641</v>
      </c>
      <c r="BV57" s="151">
        <f t="shared" si="69"/>
        <v>29.910991408506092</v>
      </c>
      <c r="BW57" s="151">
        <f t="shared" si="70"/>
        <v>26.886084218978542</v>
      </c>
      <c r="BX57" s="151">
        <f t="shared" si="71"/>
        <v>30.85813664273705</v>
      </c>
      <c r="BY57" s="151">
        <f t="shared" si="72"/>
        <v>35.28107195491492</v>
      </c>
      <c r="BZ57" s="48"/>
      <c r="CA57" s="151">
        <f t="shared" si="73"/>
        <v>29.313395534270587</v>
      </c>
      <c r="CB57" s="151">
        <f t="shared" si="74"/>
        <v>44.96024713871007</v>
      </c>
      <c r="CC57" s="151">
        <f t="shared" si="75"/>
        <v>31.546301385731397</v>
      </c>
      <c r="CD57" s="151">
        <f t="shared" si="76"/>
        <v>36.07189828605492</v>
      </c>
      <c r="CE57" s="43"/>
    </row>
    <row r="58" spans="1:83" ht="12.75">
      <c r="A58" s="149">
        <v>1994</v>
      </c>
      <c r="B58" s="24">
        <v>11.06003</v>
      </c>
      <c r="C58" s="24">
        <v>14.7501</v>
      </c>
      <c r="D58" s="24">
        <v>9.67443</v>
      </c>
      <c r="E58" s="24">
        <v>8.29079</v>
      </c>
      <c r="F58" s="24">
        <v>11.69977</v>
      </c>
      <c r="G58" s="24">
        <v>13.4251</v>
      </c>
      <c r="H58" s="24">
        <v>18.43571</v>
      </c>
      <c r="I58" s="24">
        <v>20.00905</v>
      </c>
      <c r="J58" s="24">
        <v>16.11893</v>
      </c>
      <c r="K58" s="24">
        <v>12.71334</v>
      </c>
      <c r="L58" s="24">
        <v>11.76931</v>
      </c>
      <c r="M58" s="24">
        <v>10.5937</v>
      </c>
      <c r="N58" s="24">
        <v>11.72981</v>
      </c>
      <c r="O58" s="24">
        <v>5.83802</v>
      </c>
      <c r="P58" s="24">
        <v>9.2606</v>
      </c>
      <c r="Q58" s="24">
        <v>6.75377</v>
      </c>
      <c r="R58" s="24">
        <v>11.19115</v>
      </c>
      <c r="S58" s="24">
        <v>11.64265</v>
      </c>
      <c r="T58" s="24">
        <v>9.68505</v>
      </c>
      <c r="U58" s="24">
        <v>10.54344</v>
      </c>
      <c r="V58" s="24">
        <v>11.3848</v>
      </c>
      <c r="W58" s="24">
        <v>14.04027</v>
      </c>
      <c r="X58" s="24">
        <v>12.56408</v>
      </c>
      <c r="Z58" s="24">
        <v>10.57565</v>
      </c>
      <c r="AA58" s="24">
        <v>11.9605</v>
      </c>
      <c r="AB58" s="24">
        <v>13.4251</v>
      </c>
      <c r="AC58" s="24">
        <v>18.43571</v>
      </c>
      <c r="AD58" s="24">
        <v>11.27009</v>
      </c>
      <c r="AE58" s="24">
        <v>12.60258</v>
      </c>
      <c r="AF58" s="24">
        <v>8.12499</v>
      </c>
      <c r="AG58" s="24">
        <v>11.64416</v>
      </c>
      <c r="AH58" s="24">
        <v>10.51382</v>
      </c>
      <c r="AI58" s="24">
        <v>14.13365</v>
      </c>
      <c r="AK58" s="24">
        <v>12.94014</v>
      </c>
      <c r="AL58" s="24">
        <v>10.6836</v>
      </c>
      <c r="AM58" s="24">
        <v>11.7572</v>
      </c>
      <c r="AN58" s="24">
        <v>11.87258</v>
      </c>
      <c r="AO58" s="24"/>
      <c r="AP58" s="24"/>
      <c r="AQ58" s="43"/>
      <c r="AR58" s="155">
        <f t="shared" si="77"/>
        <v>5.850558674767338</v>
      </c>
      <c r="AS58" s="151">
        <f t="shared" si="41"/>
        <v>10.387733297077354</v>
      </c>
      <c r="AT58" s="151">
        <f t="shared" si="42"/>
        <v>4.681000983793403</v>
      </c>
      <c r="AU58" s="151">
        <f t="shared" si="43"/>
        <v>0.982287447393194</v>
      </c>
      <c r="AV58" s="151">
        <f t="shared" si="44"/>
        <v>7.6117794435619315</v>
      </c>
      <c r="AW58" s="151">
        <f t="shared" si="45"/>
        <v>11.231835342472186</v>
      </c>
      <c r="AX58" s="151">
        <f t="shared" si="46"/>
        <v>15.281419395270518</v>
      </c>
      <c r="AY58" s="151">
        <f t="shared" si="47"/>
        <v>16.718772153997065</v>
      </c>
      <c r="AZ58" s="151">
        <f t="shared" si="48"/>
        <v>13.648266733331402</v>
      </c>
      <c r="BA58" s="151">
        <f t="shared" si="49"/>
        <v>8.573435152062661</v>
      </c>
      <c r="BB58" s="151">
        <f t="shared" si="50"/>
        <v>7.869844856733106</v>
      </c>
      <c r="BC58" s="151">
        <f t="shared" si="51"/>
        <v>1.9420814770566448</v>
      </c>
      <c r="BD58" s="151">
        <f t="shared" si="52"/>
        <v>1.4526159797998857</v>
      </c>
      <c r="BE58" s="151">
        <f t="shared" si="53"/>
        <v>-0.18098585468720127</v>
      </c>
      <c r="BF58" s="151">
        <f t="shared" si="54"/>
        <v>4.718681402750964</v>
      </c>
      <c r="BG58" s="151">
        <f t="shared" si="55"/>
        <v>3.0569397478388907</v>
      </c>
      <c r="BH58" s="151">
        <f t="shared" si="56"/>
        <v>7.613536470386262</v>
      </c>
      <c r="BI58" s="151">
        <f t="shared" si="57"/>
        <v>7.0023230037924975</v>
      </c>
      <c r="BJ58" s="151">
        <f t="shared" si="58"/>
        <v>3.3995233166440912</v>
      </c>
      <c r="BK58" s="151">
        <f t="shared" si="59"/>
        <v>6.944349440843217</v>
      </c>
      <c r="BL58" s="151">
        <f t="shared" si="60"/>
        <v>7.880002819079693</v>
      </c>
      <c r="BM58" s="151">
        <f t="shared" si="61"/>
        <v>8.090540350230487</v>
      </c>
      <c r="BN58" s="151">
        <f t="shared" si="62"/>
        <v>6.562801969682486</v>
      </c>
      <c r="BO58" s="43"/>
      <c r="BP58" s="151">
        <f t="shared" si="63"/>
        <v>4.617056005357912</v>
      </c>
      <c r="BQ58" s="151">
        <f t="shared" si="64"/>
        <v>8.112610410231467</v>
      </c>
      <c r="BR58" s="151">
        <f t="shared" si="65"/>
        <v>11.231835342472186</v>
      </c>
      <c r="BS58" s="151">
        <f t="shared" si="66"/>
        <v>15.281419395270518</v>
      </c>
      <c r="BT58" s="151">
        <f t="shared" si="67"/>
        <v>0.2760945160980946</v>
      </c>
      <c r="BU58" s="151">
        <f t="shared" si="68"/>
        <v>3.7287475660039076</v>
      </c>
      <c r="BV58" s="151">
        <f t="shared" si="69"/>
        <v>3.3973892696149446</v>
      </c>
      <c r="BW58" s="151">
        <f t="shared" si="70"/>
        <v>8.335862662980007</v>
      </c>
      <c r="BX58" s="151">
        <f t="shared" si="71"/>
        <v>5.588917215514111</v>
      </c>
      <c r="BY58" s="151">
        <f t="shared" si="72"/>
        <v>7.576528074884936</v>
      </c>
      <c r="BZ58" s="48"/>
      <c r="CA58" s="151">
        <f t="shared" si="73"/>
        <v>9.047072302253838</v>
      </c>
      <c r="CB58" s="151">
        <f t="shared" si="74"/>
        <v>2.3365504548054514</v>
      </c>
      <c r="CC58" s="151">
        <f t="shared" si="75"/>
        <v>6.832518572997311</v>
      </c>
      <c r="CD58" s="151">
        <f t="shared" si="76"/>
        <v>5.821203649329641</v>
      </c>
      <c r="CE58" s="43"/>
    </row>
    <row r="59" spans="1:83" ht="12.75">
      <c r="A59" s="149">
        <v>1995</v>
      </c>
      <c r="B59" s="24">
        <v>1.43275</v>
      </c>
      <c r="C59" s="24">
        <v>5.61652</v>
      </c>
      <c r="D59" s="24">
        <v>0.71411</v>
      </c>
      <c r="E59" s="24">
        <v>-1.33363</v>
      </c>
      <c r="F59" s="24">
        <v>1.65639</v>
      </c>
      <c r="G59" s="24">
        <v>4.93112</v>
      </c>
      <c r="H59" s="24">
        <v>8.70893</v>
      </c>
      <c r="I59" s="24">
        <v>9.20887</v>
      </c>
      <c r="J59" s="24">
        <v>6.27998</v>
      </c>
      <c r="K59" s="24">
        <v>5.64323</v>
      </c>
      <c r="L59" s="24">
        <v>5.53614</v>
      </c>
      <c r="M59" s="24">
        <v>2.95235</v>
      </c>
      <c r="N59" s="24">
        <v>4.68044</v>
      </c>
      <c r="O59" s="24">
        <v>-2.02656</v>
      </c>
      <c r="P59" s="24">
        <v>2.11273</v>
      </c>
      <c r="Q59" s="24">
        <v>0.27093</v>
      </c>
      <c r="R59" s="24">
        <v>1.07696</v>
      </c>
      <c r="S59" s="24">
        <v>2.73344</v>
      </c>
      <c r="T59" s="24">
        <v>3.89586</v>
      </c>
      <c r="U59" s="24">
        <v>1.68868</v>
      </c>
      <c r="V59" s="24">
        <v>1.79936</v>
      </c>
      <c r="W59" s="24">
        <v>3.48085</v>
      </c>
      <c r="X59" s="24">
        <v>2.98063</v>
      </c>
      <c r="Z59" s="24">
        <v>1.81106</v>
      </c>
      <c r="AA59" s="24">
        <v>2.2744</v>
      </c>
      <c r="AB59" s="24">
        <v>4.93112</v>
      </c>
      <c r="AC59" s="24">
        <v>8.70893</v>
      </c>
      <c r="AD59" s="24">
        <v>5.09826</v>
      </c>
      <c r="AE59" s="24">
        <v>4.57342</v>
      </c>
      <c r="AF59" s="24">
        <v>1.19975</v>
      </c>
      <c r="AG59" s="24">
        <v>1.23031</v>
      </c>
      <c r="AH59" s="24">
        <v>2.43925</v>
      </c>
      <c r="AI59" s="24">
        <v>3.29963</v>
      </c>
      <c r="AK59" s="24">
        <v>4.06572</v>
      </c>
      <c r="AL59" s="24">
        <v>2.99979</v>
      </c>
      <c r="AM59" s="24">
        <v>2.77043</v>
      </c>
      <c r="AN59" s="24">
        <v>3.58674</v>
      </c>
      <c r="AO59" s="24"/>
      <c r="AP59" s="24"/>
      <c r="AQ59" s="43"/>
      <c r="AR59" s="155">
        <f t="shared" si="77"/>
        <v>-4.7027412193761995</v>
      </c>
      <c r="AS59" s="151">
        <f t="shared" si="41"/>
        <v>-4.331504146109374</v>
      </c>
      <c r="AT59" s="151">
        <f t="shared" si="42"/>
        <v>-6.007316568675052</v>
      </c>
      <c r="AU59" s="151">
        <f t="shared" si="43"/>
        <v>-8.98156228179231</v>
      </c>
      <c r="AV59" s="151">
        <f t="shared" si="44"/>
        <v>-2.758148914711633</v>
      </c>
      <c r="AW59" s="151">
        <f t="shared" si="45"/>
        <v>0.025922909027021733</v>
      </c>
      <c r="AX59" s="151">
        <f t="shared" si="46"/>
        <v>6.905455274007868</v>
      </c>
      <c r="AY59" s="151">
        <f t="shared" si="47"/>
        <v>7.049124230876891</v>
      </c>
      <c r="AZ59" s="151">
        <f t="shared" si="48"/>
        <v>4.912912338848624</v>
      </c>
      <c r="BA59" s="151">
        <f t="shared" si="49"/>
        <v>2.8261057729203554</v>
      </c>
      <c r="BB59" s="151">
        <f t="shared" si="50"/>
        <v>4.0459535309053045</v>
      </c>
      <c r="BC59" s="151">
        <f t="shared" si="51"/>
        <v>-4.513409302581929</v>
      </c>
      <c r="BD59" s="151">
        <f t="shared" si="52"/>
        <v>-3.8293783940172275</v>
      </c>
      <c r="BE59" s="151">
        <f t="shared" si="53"/>
        <v>-6.629544359605858</v>
      </c>
      <c r="BF59" s="151">
        <f t="shared" si="54"/>
        <v>-0.860166785605436</v>
      </c>
      <c r="BG59" s="151">
        <f t="shared" si="55"/>
        <v>-1.8874498373080033</v>
      </c>
      <c r="BH59" s="151">
        <f t="shared" si="56"/>
        <v>-3.937829225147767</v>
      </c>
      <c r="BI59" s="151">
        <f t="shared" si="57"/>
        <v>-2.1556374366221354</v>
      </c>
      <c r="BJ59" s="151">
        <f t="shared" si="58"/>
        <v>0.47647456100408725</v>
      </c>
      <c r="BK59" s="151">
        <f t="shared" si="59"/>
        <v>-1.3742088783852155</v>
      </c>
      <c r="BL59" s="151">
        <f t="shared" si="60"/>
        <v>-5.100277117718007</v>
      </c>
      <c r="BM59" s="151">
        <f t="shared" si="61"/>
        <v>-4.073420416249128</v>
      </c>
      <c r="BN59" s="151">
        <f t="shared" si="62"/>
        <v>-0.14787744714401027</v>
      </c>
      <c r="BO59" s="43"/>
      <c r="BP59" s="151">
        <f t="shared" si="63"/>
        <v>-4.851265016520398</v>
      </c>
      <c r="BQ59" s="151">
        <f t="shared" si="64"/>
        <v>-1.6357009710938626</v>
      </c>
      <c r="BR59" s="151">
        <f t="shared" si="65"/>
        <v>0.025922909027021733</v>
      </c>
      <c r="BS59" s="151">
        <f t="shared" si="66"/>
        <v>6.905455274007868</v>
      </c>
      <c r="BT59" s="151">
        <f t="shared" si="67"/>
        <v>-2.1979888276432304</v>
      </c>
      <c r="BU59" s="151">
        <f t="shared" si="68"/>
        <v>-5.031076481118966</v>
      </c>
      <c r="BV59" s="151">
        <f t="shared" si="69"/>
        <v>-2.1024042504280827</v>
      </c>
      <c r="BW59" s="151">
        <f t="shared" si="70"/>
        <v>-3.6591498823657633</v>
      </c>
      <c r="BX59" s="151">
        <f t="shared" si="71"/>
        <v>-1.769158491698979</v>
      </c>
      <c r="BY59" s="151">
        <f t="shared" si="72"/>
        <v>-3.8935864718134074</v>
      </c>
      <c r="BZ59" s="48"/>
      <c r="CA59" s="151">
        <f t="shared" si="73"/>
        <v>-0.358469605423514</v>
      </c>
      <c r="CB59" s="151">
        <f t="shared" si="74"/>
        <v>-4.445792690496687</v>
      </c>
      <c r="CC59" s="151">
        <f t="shared" si="75"/>
        <v>-1.9000821670339094</v>
      </c>
      <c r="CD59" s="151">
        <f t="shared" si="76"/>
        <v>-2.4445027042086327</v>
      </c>
      <c r="CE59" s="43"/>
    </row>
    <row r="60" spans="1:83" ht="12.75">
      <c r="A60" s="149">
        <v>1996</v>
      </c>
      <c r="B60" s="24">
        <v>9.20993</v>
      </c>
      <c r="C60" s="24">
        <v>15.48142</v>
      </c>
      <c r="D60" s="24">
        <v>9.02132</v>
      </c>
      <c r="E60" s="24">
        <v>6.94295</v>
      </c>
      <c r="F60" s="24">
        <v>8.25304</v>
      </c>
      <c r="G60" s="24">
        <v>12.88045</v>
      </c>
      <c r="H60" s="24">
        <v>15.92897</v>
      </c>
      <c r="I60" s="24">
        <v>16.33351</v>
      </c>
      <c r="J60" s="24">
        <v>14.22716</v>
      </c>
      <c r="K60" s="24">
        <v>11.07473</v>
      </c>
      <c r="L60" s="24">
        <v>9.67942</v>
      </c>
      <c r="M60" s="24">
        <v>7.26115</v>
      </c>
      <c r="N60" s="24">
        <v>7.84533</v>
      </c>
      <c r="O60" s="24">
        <v>7.57949</v>
      </c>
      <c r="P60" s="24">
        <v>10.58669</v>
      </c>
      <c r="Q60" s="24">
        <v>5.92853</v>
      </c>
      <c r="R60" s="24">
        <v>3.70798</v>
      </c>
      <c r="S60" s="24">
        <v>10.7264</v>
      </c>
      <c r="T60" s="24">
        <v>12.01233</v>
      </c>
      <c r="U60" s="24">
        <v>11.62009</v>
      </c>
      <c r="V60" s="24">
        <v>10.47221</v>
      </c>
      <c r="W60" s="24">
        <v>9.71478</v>
      </c>
      <c r="X60" s="24">
        <v>8.36562</v>
      </c>
      <c r="Z60" s="24">
        <v>10.09835</v>
      </c>
      <c r="AA60" s="24">
        <v>8.76735</v>
      </c>
      <c r="AB60" s="24">
        <v>12.88045</v>
      </c>
      <c r="AC60" s="24">
        <v>15.92897</v>
      </c>
      <c r="AD60" s="24">
        <v>6.54237</v>
      </c>
      <c r="AE60" s="24">
        <v>8.95517</v>
      </c>
      <c r="AF60" s="24">
        <v>9.35857</v>
      </c>
      <c r="AG60" s="24">
        <v>4.23805</v>
      </c>
      <c r="AH60" s="24">
        <v>10.94973</v>
      </c>
      <c r="AI60" s="24">
        <v>9.41701</v>
      </c>
      <c r="AK60" s="24">
        <v>11.76129</v>
      </c>
      <c r="AL60" s="24">
        <v>7.54987</v>
      </c>
      <c r="AM60" s="24">
        <v>10.31528</v>
      </c>
      <c r="AN60" s="24">
        <v>10.03064</v>
      </c>
      <c r="AO60" s="24"/>
      <c r="AP60" s="24"/>
      <c r="AQ60" s="43"/>
      <c r="AR60" s="155">
        <f t="shared" si="77"/>
        <v>14.166347555270876</v>
      </c>
      <c r="AS60" s="151">
        <f t="shared" si="41"/>
        <v>26.225976176105576</v>
      </c>
      <c r="AT60" s="151">
        <f t="shared" si="42"/>
        <v>15.252827580707283</v>
      </c>
      <c r="AU60" s="151">
        <f t="shared" si="43"/>
        <v>13.519837060709799</v>
      </c>
      <c r="AV60" s="151">
        <f t="shared" si="44"/>
        <v>11.152578614662843</v>
      </c>
      <c r="AW60" s="151">
        <f t="shared" si="45"/>
        <v>17.47111661225765</v>
      </c>
      <c r="AX60" s="151">
        <f t="shared" si="46"/>
        <v>17.26766170071208</v>
      </c>
      <c r="AY60" s="151">
        <f t="shared" si="47"/>
        <v>17.758246541106285</v>
      </c>
      <c r="AZ60" s="151">
        <f t="shared" si="48"/>
        <v>15.331376687283601</v>
      </c>
      <c r="BA60" s="151">
        <f t="shared" si="49"/>
        <v>13.23894105744933</v>
      </c>
      <c r="BB60" s="151">
        <f t="shared" si="50"/>
        <v>10.669968917111305</v>
      </c>
      <c r="BC60" s="151">
        <f t="shared" si="51"/>
        <v>11.470938019520768</v>
      </c>
      <c r="BD60" s="151">
        <f t="shared" si="52"/>
        <v>11.665903914696091</v>
      </c>
      <c r="BE60" s="151">
        <f t="shared" si="53"/>
        <v>13.201722580454629</v>
      </c>
      <c r="BF60" s="151">
        <f t="shared" si="54"/>
        <v>14.1111257333512</v>
      </c>
      <c r="BG60" s="151">
        <f t="shared" si="55"/>
        <v>7.812156584576168</v>
      </c>
      <c r="BH60" s="151">
        <f t="shared" si="56"/>
        <v>5.012484932886199</v>
      </c>
      <c r="BI60" s="151">
        <f t="shared" si="57"/>
        <v>15.112669982167132</v>
      </c>
      <c r="BJ60" s="151">
        <f t="shared" si="58"/>
        <v>16.806323517926884</v>
      </c>
      <c r="BK60" s="151">
        <f t="shared" si="59"/>
        <v>15.055395444267685</v>
      </c>
      <c r="BL60" s="151">
        <f t="shared" si="60"/>
        <v>16.714961274474685</v>
      </c>
      <c r="BM60" s="151">
        <f t="shared" si="61"/>
        <v>14.174569739963738</v>
      </c>
      <c r="BN60" s="151">
        <f t="shared" si="62"/>
        <v>10.123544475819878</v>
      </c>
      <c r="BO60" s="43"/>
      <c r="BP60" s="151">
        <f t="shared" si="63"/>
        <v>16.397859673146073</v>
      </c>
      <c r="BQ60" s="151">
        <f t="shared" si="64"/>
        <v>11.388434863904347</v>
      </c>
      <c r="BR60" s="151">
        <f t="shared" si="65"/>
        <v>17.47111661225765</v>
      </c>
      <c r="BS60" s="151">
        <f t="shared" si="66"/>
        <v>17.26766170071208</v>
      </c>
      <c r="BT60" s="151">
        <f t="shared" si="67"/>
        <v>8.249576111394493</v>
      </c>
      <c r="BU60" s="151">
        <f t="shared" si="68"/>
        <v>14.196627693724254</v>
      </c>
      <c r="BV60" s="151">
        <f t="shared" si="69"/>
        <v>13.248930787709547</v>
      </c>
      <c r="BW60" s="151">
        <f t="shared" si="70"/>
        <v>5.650229363692276</v>
      </c>
      <c r="BX60" s="151">
        <f t="shared" si="71"/>
        <v>15.385331685344774</v>
      </c>
      <c r="BY60" s="151">
        <f t="shared" si="72"/>
        <v>13.478626886468907</v>
      </c>
      <c r="BZ60" s="48"/>
      <c r="CA60" s="151">
        <f t="shared" si="73"/>
        <v>15.597784193627195</v>
      </c>
      <c r="CB60" s="151">
        <f t="shared" si="74"/>
        <v>11.958880229088848</v>
      </c>
      <c r="CC60" s="151">
        <f t="shared" si="75"/>
        <v>14.236412255910164</v>
      </c>
      <c r="CD60" s="151">
        <f t="shared" si="76"/>
        <v>14.721139075730404</v>
      </c>
      <c r="CE60" s="43"/>
    </row>
    <row r="61" spans="1:83" ht="12.75">
      <c r="A61" s="149">
        <v>1997</v>
      </c>
      <c r="B61" s="24">
        <v>16.04411</v>
      </c>
      <c r="C61" s="24">
        <v>25.49632</v>
      </c>
      <c r="D61" s="24">
        <v>15.71672</v>
      </c>
      <c r="E61" s="24">
        <v>11.45027</v>
      </c>
      <c r="F61" s="24">
        <v>15.16778</v>
      </c>
      <c r="G61" s="24">
        <v>17.61396</v>
      </c>
      <c r="H61" s="24">
        <v>25.67163</v>
      </c>
      <c r="I61" s="24">
        <v>27.06405</v>
      </c>
      <c r="J61" s="24">
        <v>23.1669</v>
      </c>
      <c r="K61" s="24">
        <v>15.5624</v>
      </c>
      <c r="L61" s="24">
        <v>15.49273</v>
      </c>
      <c r="M61" s="24">
        <v>14.26141</v>
      </c>
      <c r="N61" s="24">
        <v>16.31963</v>
      </c>
      <c r="O61" s="24">
        <v>14.13386</v>
      </c>
      <c r="P61" s="24">
        <v>15.86076</v>
      </c>
      <c r="Q61" s="24">
        <v>10.8902</v>
      </c>
      <c r="R61" s="24">
        <v>7.80957</v>
      </c>
      <c r="S61" s="24">
        <v>17.04124</v>
      </c>
      <c r="T61" s="24">
        <v>20.4663</v>
      </c>
      <c r="U61" s="24">
        <v>17.93333</v>
      </c>
      <c r="V61" s="24">
        <v>17.83531</v>
      </c>
      <c r="W61" s="24">
        <v>14.49005</v>
      </c>
      <c r="X61" s="24">
        <v>13.51853</v>
      </c>
      <c r="Z61" s="24">
        <v>16.75168</v>
      </c>
      <c r="AA61" s="24">
        <v>15.24343</v>
      </c>
      <c r="AB61" s="24">
        <v>17.61396</v>
      </c>
      <c r="AC61" s="24">
        <v>25.67163</v>
      </c>
      <c r="AD61" s="24">
        <v>15.15196</v>
      </c>
      <c r="AE61" s="24">
        <v>17.23541</v>
      </c>
      <c r="AF61" s="24">
        <v>15.64717</v>
      </c>
      <c r="AG61" s="24">
        <v>8.41548</v>
      </c>
      <c r="AH61" s="24">
        <v>18.18252</v>
      </c>
      <c r="AI61" s="24">
        <v>13.93978</v>
      </c>
      <c r="AK61" s="24">
        <v>18.4578</v>
      </c>
      <c r="AL61" s="24">
        <v>14.53757</v>
      </c>
      <c r="AM61" s="24">
        <v>16.37532</v>
      </c>
      <c r="AN61" s="24">
        <v>16.76443</v>
      </c>
      <c r="AO61" s="24"/>
      <c r="AP61" s="24"/>
      <c r="AQ61" s="43"/>
      <c r="AR61" s="155">
        <f t="shared" si="77"/>
        <v>20.399551140346645</v>
      </c>
      <c r="AS61" s="151">
        <f t="shared" si="41"/>
        <v>36.404251722377296</v>
      </c>
      <c r="AT61" s="151">
        <f t="shared" si="42"/>
        <v>20.739156637074007</v>
      </c>
      <c r="AU61" s="151">
        <f t="shared" si="43"/>
        <v>15.031958884355435</v>
      </c>
      <c r="AV61" s="151">
        <f t="shared" si="44"/>
        <v>18.20713416315156</v>
      </c>
      <c r="AW61" s="151">
        <f t="shared" si="45"/>
        <v>20.347519471777833</v>
      </c>
      <c r="AX61" s="151">
        <f t="shared" si="46"/>
        <v>27.47804908976398</v>
      </c>
      <c r="AY61" s="151">
        <f t="shared" si="47"/>
        <v>29.20986964054361</v>
      </c>
      <c r="AZ61" s="151">
        <f t="shared" si="48"/>
        <v>24.409027407203144</v>
      </c>
      <c r="BA61" s="151">
        <f t="shared" si="49"/>
        <v>17.350536801285767</v>
      </c>
      <c r="BB61" s="151">
        <f t="shared" si="50"/>
        <v>16.88253902215933</v>
      </c>
      <c r="BC61" s="151">
        <f t="shared" si="51"/>
        <v>21.100810919404577</v>
      </c>
      <c r="BD61" s="151">
        <f t="shared" si="52"/>
        <v>26.549587289292546</v>
      </c>
      <c r="BE61" s="151">
        <f t="shared" si="53"/>
        <v>17.97000415481435</v>
      </c>
      <c r="BF61" s="151">
        <f t="shared" si="54"/>
        <v>18.05431776616783</v>
      </c>
      <c r="BG61" s="151">
        <f t="shared" si="55"/>
        <v>12.542125465903215</v>
      </c>
      <c r="BH61" s="151">
        <f t="shared" si="56"/>
        <v>9.84320881220086</v>
      </c>
      <c r="BI61" s="151">
        <f t="shared" si="57"/>
        <v>20.506613670603667</v>
      </c>
      <c r="BJ61" s="151">
        <f t="shared" si="58"/>
        <v>25.459637914234683</v>
      </c>
      <c r="BK61" s="151">
        <f t="shared" si="59"/>
        <v>20.11709924756591</v>
      </c>
      <c r="BL61" s="151">
        <f t="shared" si="60"/>
        <v>23.13529811337502</v>
      </c>
      <c r="BM61" s="151">
        <f t="shared" si="61"/>
        <v>17.906305901422805</v>
      </c>
      <c r="BN61" s="151">
        <f t="shared" si="62"/>
        <v>15.20069219727372</v>
      </c>
      <c r="BO61" s="43"/>
      <c r="BP61" s="151">
        <f t="shared" si="63"/>
        <v>21.809149533904684</v>
      </c>
      <c r="BQ61" s="151">
        <f t="shared" si="64"/>
        <v>17.85770475422322</v>
      </c>
      <c r="BR61" s="151">
        <f t="shared" si="65"/>
        <v>20.347519471777833</v>
      </c>
      <c r="BS61" s="151">
        <f t="shared" si="66"/>
        <v>27.47804908976398</v>
      </c>
      <c r="BT61" s="151">
        <f t="shared" si="67"/>
        <v>25.3300937049123</v>
      </c>
      <c r="BU61" s="151">
        <f t="shared" si="68"/>
        <v>27.140248855225266</v>
      </c>
      <c r="BV61" s="151">
        <f t="shared" si="69"/>
        <v>18.645755929042465</v>
      </c>
      <c r="BW61" s="151">
        <f t="shared" si="70"/>
        <v>10.376846487551791</v>
      </c>
      <c r="BX61" s="151">
        <f t="shared" si="71"/>
        <v>21.952198738889557</v>
      </c>
      <c r="BY61" s="151">
        <f t="shared" si="72"/>
        <v>16.942660155493854</v>
      </c>
      <c r="BZ61" s="48"/>
      <c r="CA61" s="151">
        <f t="shared" si="73"/>
        <v>21.796229997071876</v>
      </c>
      <c r="CB61" s="151">
        <f t="shared" si="74"/>
        <v>21.308624745807574</v>
      </c>
      <c r="CC61" s="151">
        <f t="shared" si="75"/>
        <v>19.524781992764044</v>
      </c>
      <c r="CD61" s="151">
        <f t="shared" si="76"/>
        <v>21.665939298897044</v>
      </c>
      <c r="CE61" s="43"/>
    </row>
    <row r="62" spans="1:83" ht="12.75">
      <c r="A62" s="149">
        <v>1998</v>
      </c>
      <c r="B62" s="24">
        <v>10.07208</v>
      </c>
      <c r="C62" s="24">
        <v>11.86577</v>
      </c>
      <c r="D62" s="24">
        <v>11.39238</v>
      </c>
      <c r="E62" s="24">
        <v>7.61551</v>
      </c>
      <c r="F62" s="24">
        <v>10.1922</v>
      </c>
      <c r="G62" s="24">
        <v>13.61782</v>
      </c>
      <c r="H62" s="24">
        <v>10.49706</v>
      </c>
      <c r="I62" s="24">
        <v>10.82116</v>
      </c>
      <c r="J62" s="24">
        <v>10.08999</v>
      </c>
      <c r="K62" s="24">
        <v>13.43726</v>
      </c>
      <c r="L62" s="24">
        <v>11.49285</v>
      </c>
      <c r="M62" s="24">
        <v>11.40148</v>
      </c>
      <c r="N62" s="24">
        <v>11.3797</v>
      </c>
      <c r="O62" s="24">
        <v>14.00624</v>
      </c>
      <c r="P62" s="24">
        <v>12.90363</v>
      </c>
      <c r="Q62" s="24">
        <v>10.92044</v>
      </c>
      <c r="R62" s="24">
        <v>9.47976</v>
      </c>
      <c r="S62" s="24">
        <v>14.26348</v>
      </c>
      <c r="T62" s="24">
        <v>16.55127</v>
      </c>
      <c r="U62" s="24">
        <v>15.70412</v>
      </c>
      <c r="V62" s="24">
        <v>14.61796</v>
      </c>
      <c r="W62" s="24">
        <v>12.05395</v>
      </c>
      <c r="X62" s="24">
        <v>8.94428</v>
      </c>
      <c r="Z62" s="24">
        <v>10.29388</v>
      </c>
      <c r="AA62" s="24">
        <v>10.62444</v>
      </c>
      <c r="AB62" s="24">
        <v>13.61782</v>
      </c>
      <c r="AC62" s="24">
        <v>10.49706</v>
      </c>
      <c r="AD62" s="24">
        <v>9.46323</v>
      </c>
      <c r="AE62" s="24">
        <v>12.86462</v>
      </c>
      <c r="AF62" s="24">
        <v>13.20671</v>
      </c>
      <c r="AG62" s="24">
        <v>9.69413</v>
      </c>
      <c r="AH62" s="24">
        <v>15.14108</v>
      </c>
      <c r="AI62" s="24">
        <v>10.56634</v>
      </c>
      <c r="AK62" s="24">
        <v>11.55257</v>
      </c>
      <c r="AL62" s="24">
        <v>11.60521</v>
      </c>
      <c r="AM62" s="24">
        <v>13.19391</v>
      </c>
      <c r="AN62" s="24">
        <v>11.7596</v>
      </c>
      <c r="AO62" s="24"/>
      <c r="AP62" s="24"/>
      <c r="AQ62" s="43"/>
      <c r="AR62" s="155">
        <f t="shared" si="77"/>
        <v>6.266089353955505</v>
      </c>
      <c r="AS62" s="151">
        <f t="shared" si="41"/>
        <v>-2.9802203482261262</v>
      </c>
      <c r="AT62" s="151">
        <f t="shared" si="42"/>
        <v>8.148552350096391</v>
      </c>
      <c r="AU62" s="151">
        <f t="shared" si="43"/>
        <v>4.568263018163599</v>
      </c>
      <c r="AV62" s="151">
        <f t="shared" si="44"/>
        <v>8.005198061084922</v>
      </c>
      <c r="AW62" s="151">
        <f t="shared" si="45"/>
        <v>11.310085074426741</v>
      </c>
      <c r="AX62" s="151">
        <f t="shared" si="46"/>
        <v>7.683492357594349</v>
      </c>
      <c r="AY62" s="151">
        <f t="shared" si="47"/>
        <v>7.573018491633284</v>
      </c>
      <c r="AZ62" s="151">
        <f t="shared" si="48"/>
        <v>8.273025713283731</v>
      </c>
      <c r="BA62" s="151">
        <f t="shared" si="49"/>
        <v>12.590486275130651</v>
      </c>
      <c r="BB62" s="151">
        <f t="shared" si="50"/>
        <v>10.536584238918163</v>
      </c>
      <c r="BC62" s="151">
        <f t="shared" si="51"/>
        <v>8.607268374798547</v>
      </c>
      <c r="BD62" s="151">
        <f t="shared" si="52"/>
        <v>5.416343390947344</v>
      </c>
      <c r="BE62" s="151">
        <f t="shared" si="53"/>
        <v>13.931546518088327</v>
      </c>
      <c r="BF62" s="151">
        <f t="shared" si="54"/>
        <v>11.673719233349596</v>
      </c>
      <c r="BG62" s="151">
        <f t="shared" si="55"/>
        <v>10.930508026710545</v>
      </c>
      <c r="BH62" s="151">
        <f t="shared" si="56"/>
        <v>10.307868905997372</v>
      </c>
      <c r="BI62" s="151">
        <f t="shared" si="57"/>
        <v>12.739137915757794</v>
      </c>
      <c r="BJ62" s="151">
        <f t="shared" si="58"/>
        <v>14.238857283327686</v>
      </c>
      <c r="BK62" s="151">
        <f t="shared" si="59"/>
        <v>14.933029364388744</v>
      </c>
      <c r="BL62" s="151">
        <f t="shared" si="60"/>
        <v>12.302098914782208</v>
      </c>
      <c r="BM62" s="151">
        <f t="shared" si="61"/>
        <v>10.311149906716043</v>
      </c>
      <c r="BN62" s="151">
        <f t="shared" si="62"/>
        <v>7.451020767667332</v>
      </c>
      <c r="BO62" s="43"/>
      <c r="BP62" s="151">
        <f t="shared" si="63"/>
        <v>5.385040853880737</v>
      </c>
      <c r="BQ62" s="151">
        <f t="shared" si="64"/>
        <v>8.759838428214364</v>
      </c>
      <c r="BR62" s="151">
        <f t="shared" si="65"/>
        <v>11.310085074426741</v>
      </c>
      <c r="BS62" s="151">
        <f t="shared" si="66"/>
        <v>7.683492357594349</v>
      </c>
      <c r="BT62" s="151">
        <f t="shared" si="67"/>
        <v>2.738095057320295</v>
      </c>
      <c r="BU62" s="151">
        <f t="shared" si="68"/>
        <v>7.636272679145767</v>
      </c>
      <c r="BV62" s="151">
        <f t="shared" si="69"/>
        <v>12.043028255829439</v>
      </c>
      <c r="BW62" s="151">
        <f t="shared" si="70"/>
        <v>10.294475489764784</v>
      </c>
      <c r="BX62" s="151">
        <f t="shared" si="71"/>
        <v>13.55590308989916</v>
      </c>
      <c r="BY62" s="151">
        <f t="shared" si="72"/>
        <v>8.326554197991674</v>
      </c>
      <c r="BZ62" s="48"/>
      <c r="CA62" s="151">
        <f t="shared" si="73"/>
        <v>8.110086233279628</v>
      </c>
      <c r="CB62" s="151">
        <f t="shared" si="74"/>
        <v>8.763764303359286</v>
      </c>
      <c r="CC62" s="151">
        <f t="shared" si="75"/>
        <v>11.54050014158331</v>
      </c>
      <c r="CD62" s="151">
        <f t="shared" si="76"/>
        <v>8.116596463447944</v>
      </c>
      <c r="CE62" s="43"/>
    </row>
    <row r="63" spans="1:83" ht="12.75">
      <c r="A63" s="149">
        <v>1999</v>
      </c>
      <c r="B63" s="24">
        <v>12.25866</v>
      </c>
      <c r="C63" s="24">
        <v>10.14604</v>
      </c>
      <c r="D63" s="24">
        <v>15.91497</v>
      </c>
      <c r="E63" s="24">
        <v>11.83225</v>
      </c>
      <c r="F63" s="24">
        <v>12.75471</v>
      </c>
      <c r="G63" s="24">
        <v>15.29538</v>
      </c>
      <c r="H63" s="24">
        <v>14.46893</v>
      </c>
      <c r="I63" s="24">
        <v>14.37331</v>
      </c>
      <c r="J63" s="24">
        <v>14.9474</v>
      </c>
      <c r="K63" s="24">
        <v>13.56785</v>
      </c>
      <c r="L63" s="24">
        <v>14.66875</v>
      </c>
      <c r="M63" s="24">
        <v>14.15082</v>
      </c>
      <c r="N63" s="24">
        <v>13.91517</v>
      </c>
      <c r="O63" s="24">
        <v>17.19331</v>
      </c>
      <c r="P63" s="24">
        <v>14.33407</v>
      </c>
      <c r="Q63" s="24">
        <v>15.19814</v>
      </c>
      <c r="R63" s="24">
        <v>13.43682</v>
      </c>
      <c r="S63" s="24">
        <v>18.60517</v>
      </c>
      <c r="T63" s="24">
        <v>21.91234</v>
      </c>
      <c r="U63" s="24">
        <v>20.55698</v>
      </c>
      <c r="V63" s="24">
        <v>17.95402</v>
      </c>
      <c r="W63" s="24">
        <v>16.00291</v>
      </c>
      <c r="X63" s="24">
        <v>13.31282</v>
      </c>
      <c r="Z63" s="24">
        <v>12.06788</v>
      </c>
      <c r="AA63" s="24">
        <v>12.91753</v>
      </c>
      <c r="AB63" s="24">
        <v>15.29538</v>
      </c>
      <c r="AC63" s="24">
        <v>14.46893</v>
      </c>
      <c r="AD63" s="24">
        <v>11.31107</v>
      </c>
      <c r="AE63" s="24">
        <v>15.8786</v>
      </c>
      <c r="AF63" s="24">
        <v>15.56422</v>
      </c>
      <c r="AG63" s="24">
        <v>13.36258</v>
      </c>
      <c r="AH63" s="24">
        <v>19.49776</v>
      </c>
      <c r="AI63" s="24">
        <v>14.74598</v>
      </c>
      <c r="AK63" s="24">
        <v>13.93044</v>
      </c>
      <c r="AL63" s="24">
        <v>14.2506</v>
      </c>
      <c r="AM63" s="24">
        <v>17.54563</v>
      </c>
      <c r="AN63" s="24">
        <v>14.49536</v>
      </c>
      <c r="AO63" s="24"/>
      <c r="AP63" s="24"/>
      <c r="AQ63" s="43"/>
      <c r="AR63" s="155">
        <f t="shared" si="77"/>
        <v>13.65217326547723</v>
      </c>
      <c r="AS63" s="151">
        <f t="shared" si="41"/>
        <v>8.272961145400961</v>
      </c>
      <c r="AT63" s="151">
        <f t="shared" si="42"/>
        <v>19.307511403122223</v>
      </c>
      <c r="AU63" s="151">
        <f t="shared" si="43"/>
        <v>15.183032901195595</v>
      </c>
      <c r="AV63" s="151">
        <f t="shared" si="44"/>
        <v>13.8810539314591</v>
      </c>
      <c r="AW63" s="151">
        <f t="shared" si="45"/>
        <v>16.264155819101603</v>
      </c>
      <c r="AX63" s="151">
        <f t="shared" si="46"/>
        <v>15.205367665900367</v>
      </c>
      <c r="AY63" s="151">
        <f t="shared" si="47"/>
        <v>15.083644543849328</v>
      </c>
      <c r="AZ63" s="151">
        <f t="shared" si="48"/>
        <v>15.622310242246714</v>
      </c>
      <c r="BA63" s="151">
        <f t="shared" si="49"/>
        <v>13.61988430396618</v>
      </c>
      <c r="BB63" s="151">
        <f t="shared" si="50"/>
        <v>15.428023885871529</v>
      </c>
      <c r="BC63" s="151">
        <f t="shared" si="51"/>
        <v>16.83698287448692</v>
      </c>
      <c r="BD63" s="151">
        <f t="shared" si="52"/>
        <v>16.975924257966152</v>
      </c>
      <c r="BE63" s="151">
        <f t="shared" si="53"/>
        <v>19.058639536093352</v>
      </c>
      <c r="BF63" s="151">
        <f t="shared" si="54"/>
        <v>14.929009538352185</v>
      </c>
      <c r="BG63" s="151">
        <f t="shared" si="55"/>
        <v>16.622346278429276</v>
      </c>
      <c r="BH63" s="151">
        <f t="shared" si="56"/>
        <v>15.398798354298586</v>
      </c>
      <c r="BI63" s="151">
        <f t="shared" si="57"/>
        <v>20.987744730622353</v>
      </c>
      <c r="BJ63" s="151">
        <f t="shared" si="58"/>
        <v>25.078856333966897</v>
      </c>
      <c r="BK63" s="151">
        <f t="shared" si="59"/>
        <v>22.23559928751999</v>
      </c>
      <c r="BL63" s="151">
        <f t="shared" si="60"/>
        <v>20.355329006465468</v>
      </c>
      <c r="BM63" s="151">
        <f t="shared" si="61"/>
        <v>18.828018926716727</v>
      </c>
      <c r="BN63" s="151">
        <f t="shared" si="62"/>
        <v>14.738925413305909</v>
      </c>
      <c r="BO63" s="43"/>
      <c r="BP63" s="151">
        <f t="shared" si="63"/>
        <v>13.416370297812811</v>
      </c>
      <c r="BQ63" s="151">
        <f t="shared" si="64"/>
        <v>13.843208388185712</v>
      </c>
      <c r="BR63" s="151">
        <f t="shared" si="65"/>
        <v>16.264155819101603</v>
      </c>
      <c r="BS63" s="151">
        <f t="shared" si="66"/>
        <v>15.205367665900367</v>
      </c>
      <c r="BT63" s="151">
        <f t="shared" si="67"/>
        <v>13.49555992173671</v>
      </c>
      <c r="BU63" s="151">
        <f t="shared" si="68"/>
        <v>19.483928615217895</v>
      </c>
      <c r="BV63" s="151">
        <f t="shared" si="69"/>
        <v>16.68834879076057</v>
      </c>
      <c r="BW63" s="151">
        <f t="shared" si="70"/>
        <v>15.084972689107744</v>
      </c>
      <c r="BX63" s="151">
        <f t="shared" si="71"/>
        <v>21.768430649658757</v>
      </c>
      <c r="BY63" s="151">
        <f t="shared" si="72"/>
        <v>17.521039977206076</v>
      </c>
      <c r="BZ63" s="48"/>
      <c r="CA63" s="151">
        <f t="shared" si="73"/>
        <v>15.115886230519678</v>
      </c>
      <c r="CB63" s="151">
        <f t="shared" si="74"/>
        <v>16.813972857165005</v>
      </c>
      <c r="CC63" s="151">
        <f t="shared" si="75"/>
        <v>19.807261398992605</v>
      </c>
      <c r="CD63" s="151">
        <f t="shared" si="76"/>
        <v>16.486713024010335</v>
      </c>
      <c r="CE63" s="43"/>
    </row>
    <row r="64" spans="1:83" ht="12.75">
      <c r="A64" s="149">
        <v>2000</v>
      </c>
      <c r="B64" s="24">
        <v>3.90287</v>
      </c>
      <c r="C64" s="24">
        <v>9.40123</v>
      </c>
      <c r="D64" s="24">
        <v>4.81801</v>
      </c>
      <c r="E64" s="24">
        <v>1.5771</v>
      </c>
      <c r="F64" s="24">
        <v>2.23167</v>
      </c>
      <c r="G64" s="24">
        <v>6.20608</v>
      </c>
      <c r="H64" s="24">
        <v>11.3727</v>
      </c>
      <c r="I64" s="24">
        <v>11.67613</v>
      </c>
      <c r="J64" s="24">
        <v>10.70952</v>
      </c>
      <c r="K64" s="24">
        <v>5.95696</v>
      </c>
      <c r="L64" s="24">
        <v>7.12039</v>
      </c>
      <c r="M64" s="24">
        <v>15.71494</v>
      </c>
      <c r="N64" s="24">
        <v>18.19849</v>
      </c>
      <c r="O64" s="24">
        <v>15.12232</v>
      </c>
      <c r="P64" s="24">
        <v>12.02809</v>
      </c>
      <c r="Q64" s="24">
        <v>12.81655</v>
      </c>
      <c r="R64" s="24">
        <v>10.50383</v>
      </c>
      <c r="S64" s="24">
        <v>14.01367</v>
      </c>
      <c r="T64" s="24">
        <v>17.51511</v>
      </c>
      <c r="U64" s="24">
        <v>14.98306</v>
      </c>
      <c r="V64" s="24">
        <v>14.60766</v>
      </c>
      <c r="W64" s="24">
        <v>11.31503</v>
      </c>
      <c r="X64" s="24">
        <v>12.03182</v>
      </c>
      <c r="Z64" s="24">
        <v>5.9288</v>
      </c>
      <c r="AA64" s="24">
        <v>2.82916</v>
      </c>
      <c r="AB64" s="24">
        <v>6.20608</v>
      </c>
      <c r="AC64" s="24">
        <v>11.3727</v>
      </c>
      <c r="AD64" s="24">
        <v>15.45378</v>
      </c>
      <c r="AE64" s="24">
        <v>19.51086</v>
      </c>
      <c r="AF64" s="24">
        <v>14.32236</v>
      </c>
      <c r="AG64" s="24">
        <v>10.30795</v>
      </c>
      <c r="AH64" s="24">
        <v>15.45399</v>
      </c>
      <c r="AI64" s="24">
        <v>11.06761</v>
      </c>
      <c r="AK64" s="24">
        <v>6.71896</v>
      </c>
      <c r="AL64" s="24">
        <v>15.38092</v>
      </c>
      <c r="AM64" s="24">
        <v>13.64579</v>
      </c>
      <c r="AN64" s="24">
        <v>10.45429</v>
      </c>
      <c r="AO64" s="24"/>
      <c r="AP64" s="24"/>
      <c r="AQ64" s="43"/>
      <c r="AR64" s="155">
        <f t="shared" si="77"/>
        <v>-1.4222972513889145</v>
      </c>
      <c r="AS64" s="151">
        <f t="shared" si="41"/>
        <v>8.59000506254243</v>
      </c>
      <c r="AT64" s="151">
        <f t="shared" si="42"/>
        <v>-3.5061795128214523</v>
      </c>
      <c r="AU64" s="151">
        <f t="shared" si="43"/>
        <v>-6.572034466245492</v>
      </c>
      <c r="AV64" s="151">
        <f t="shared" si="44"/>
        <v>-2.3937020939630984</v>
      </c>
      <c r="AW64" s="151">
        <f t="shared" si="45"/>
        <v>0.9570909608239384</v>
      </c>
      <c r="AX64" s="151">
        <f t="shared" si="46"/>
        <v>10.798617667423482</v>
      </c>
      <c r="AY64" s="151">
        <f t="shared" si="47"/>
        <v>11.136766480728705</v>
      </c>
      <c r="AZ64" s="151">
        <f t="shared" si="48"/>
        <v>10.120690023240265</v>
      </c>
      <c r="BA64" s="151">
        <f t="shared" si="49"/>
        <v>2.924359006714436</v>
      </c>
      <c r="BB64" s="151">
        <f t="shared" si="50"/>
        <v>5.315776306509267</v>
      </c>
      <c r="BC64" s="151">
        <f t="shared" si="51"/>
        <v>17.243118062823253</v>
      </c>
      <c r="BD64" s="151">
        <f t="shared" si="52"/>
        <v>23.369203882724538</v>
      </c>
      <c r="BE64" s="151">
        <f t="shared" si="53"/>
        <v>13.91021018880854</v>
      </c>
      <c r="BF64" s="151">
        <f t="shared" si="54"/>
        <v>11.069001414215643</v>
      </c>
      <c r="BG64" s="151">
        <f t="shared" si="55"/>
        <v>12.023629638440193</v>
      </c>
      <c r="BH64" s="151">
        <f t="shared" si="56"/>
        <v>9.049603151437124</v>
      </c>
      <c r="BI64" s="151">
        <f t="shared" si="57"/>
        <v>11.49400786943505</v>
      </c>
      <c r="BJ64" s="151">
        <f t="shared" si="58"/>
        <v>14.917885822884376</v>
      </c>
      <c r="BK64" s="151">
        <f t="shared" si="59"/>
        <v>13.055023827702964</v>
      </c>
      <c r="BL64" s="151">
        <f t="shared" si="60"/>
        <v>12.198937013340355</v>
      </c>
      <c r="BM64" s="151">
        <f t="shared" si="61"/>
        <v>7.961293412296701</v>
      </c>
      <c r="BN64" s="151">
        <f t="shared" si="62"/>
        <v>11.613638860661716</v>
      </c>
      <c r="BO64" s="43"/>
      <c r="BP64" s="151">
        <f t="shared" si="63"/>
        <v>1.2622330228316383</v>
      </c>
      <c r="BQ64" s="151">
        <f t="shared" si="64"/>
        <v>-1.2433299942963822</v>
      </c>
      <c r="BR64" s="151">
        <f t="shared" si="65"/>
        <v>0.9570909608239384</v>
      </c>
      <c r="BS64" s="151">
        <f t="shared" si="66"/>
        <v>10.798617667423482</v>
      </c>
      <c r="BT64" s="151">
        <f t="shared" si="67"/>
        <v>20.351232292231945</v>
      </c>
      <c r="BU64" s="151">
        <f t="shared" si="68"/>
        <v>23.855776328546096</v>
      </c>
      <c r="BV64" s="151">
        <f t="shared" si="69"/>
        <v>13.730205319810343</v>
      </c>
      <c r="BW64" s="151">
        <f t="shared" si="70"/>
        <v>8.873755073006532</v>
      </c>
      <c r="BX64" s="151">
        <f t="shared" si="71"/>
        <v>13.346405818244492</v>
      </c>
      <c r="BY64" s="151">
        <f t="shared" si="72"/>
        <v>8.625366800022125</v>
      </c>
      <c r="BZ64" s="48"/>
      <c r="CA64" s="151">
        <f t="shared" si="73"/>
        <v>3.123800557949751</v>
      </c>
      <c r="CB64" s="151">
        <f t="shared" si="74"/>
        <v>16.47619578463317</v>
      </c>
      <c r="CC64" s="151">
        <f t="shared" si="75"/>
        <v>11.619005051738775</v>
      </c>
      <c r="CD64" s="151">
        <f t="shared" si="76"/>
        <v>7.5128050142053935</v>
      </c>
      <c r="CE64" s="43"/>
    </row>
    <row r="65" spans="1:83" ht="12.75">
      <c r="A65" s="149">
        <v>2001</v>
      </c>
      <c r="B65" s="24">
        <v>3.65954</v>
      </c>
      <c r="C65" s="24">
        <v>6.47513</v>
      </c>
      <c r="D65" s="24">
        <v>5.96393</v>
      </c>
      <c r="E65" s="24">
        <v>2.43529</v>
      </c>
      <c r="F65" s="24">
        <v>2.3748</v>
      </c>
      <c r="G65" s="24">
        <v>5.21963</v>
      </c>
      <c r="H65" s="24">
        <v>8.00404</v>
      </c>
      <c r="I65" s="24">
        <v>9.37686</v>
      </c>
      <c r="J65" s="24">
        <v>5.61869</v>
      </c>
      <c r="K65" s="24">
        <v>6.49282</v>
      </c>
      <c r="L65" s="24">
        <v>9.51366</v>
      </c>
      <c r="M65" s="24">
        <v>8.2315</v>
      </c>
      <c r="N65" s="24">
        <v>9.59391</v>
      </c>
      <c r="O65" s="24">
        <v>5.03865</v>
      </c>
      <c r="P65" s="24">
        <v>3.33869</v>
      </c>
      <c r="Q65" s="24">
        <v>8.55305</v>
      </c>
      <c r="R65" s="24">
        <v>9.32226</v>
      </c>
      <c r="S65" s="24">
        <v>8.27957</v>
      </c>
      <c r="T65" s="24">
        <v>7.7978</v>
      </c>
      <c r="U65" s="24">
        <v>7.58722</v>
      </c>
      <c r="V65" s="24">
        <v>8.49174</v>
      </c>
      <c r="W65" s="24">
        <v>8.82302</v>
      </c>
      <c r="X65" s="24">
        <v>8.35194</v>
      </c>
      <c r="Z65" s="24">
        <v>5.28741</v>
      </c>
      <c r="AA65" s="24">
        <v>3.0465</v>
      </c>
      <c r="AB65" s="24">
        <v>5.21963</v>
      </c>
      <c r="AC65" s="24">
        <v>8.00404</v>
      </c>
      <c r="AD65" s="24">
        <v>10.30313</v>
      </c>
      <c r="AE65" s="24">
        <v>8.83008</v>
      </c>
      <c r="AF65" s="24">
        <v>5.00712</v>
      </c>
      <c r="AG65" s="24">
        <v>8.21349</v>
      </c>
      <c r="AH65" s="24">
        <v>7.97918</v>
      </c>
      <c r="AI65" s="24">
        <v>8.74685</v>
      </c>
      <c r="AK65" s="24">
        <v>5.6089</v>
      </c>
      <c r="AL65" s="24">
        <v>7.68604</v>
      </c>
      <c r="AM65" s="24">
        <v>8.29365</v>
      </c>
      <c r="AN65" s="24">
        <v>6.79008</v>
      </c>
      <c r="AO65" s="24"/>
      <c r="AP65" s="24"/>
      <c r="AQ65" s="43"/>
      <c r="AR65" s="155">
        <f t="shared" si="77"/>
        <v>3.504465142053538</v>
      </c>
      <c r="AS65" s="151">
        <f t="shared" si="41"/>
        <v>3.2881087603622414</v>
      </c>
      <c r="AT65" s="151">
        <f t="shared" si="42"/>
        <v>6.82352174823847</v>
      </c>
      <c r="AU65" s="151">
        <f t="shared" si="43"/>
        <v>3.117240601169873</v>
      </c>
      <c r="AV65" s="151">
        <f t="shared" si="44"/>
        <v>2.437712381574995</v>
      </c>
      <c r="AW65" s="151">
        <f t="shared" si="45"/>
        <v>4.649963992970282</v>
      </c>
      <c r="AX65" s="151">
        <f t="shared" si="46"/>
        <v>7.379445512362708</v>
      </c>
      <c r="AY65" s="151">
        <f t="shared" si="47"/>
        <v>8.917067787780233</v>
      </c>
      <c r="AZ65" s="151">
        <f t="shared" si="48"/>
        <v>4.911347340323992</v>
      </c>
      <c r="BA65" s="151">
        <f t="shared" si="49"/>
        <v>6.706336365137585</v>
      </c>
      <c r="BB65" s="151">
        <f t="shared" si="50"/>
        <v>10.08582770453722</v>
      </c>
      <c r="BC65" s="151">
        <f t="shared" si="51"/>
        <v>0.9200220811357033</v>
      </c>
      <c r="BD65" s="151">
        <f t="shared" si="52"/>
        <v>-0.7933179589229629</v>
      </c>
      <c r="BE65" s="151">
        <f t="shared" si="53"/>
        <v>-0.863124194861877</v>
      </c>
      <c r="BF65" s="151">
        <f t="shared" si="54"/>
        <v>-0.2753501726444207</v>
      </c>
      <c r="BG65" s="151">
        <f t="shared" si="55"/>
        <v>7.1335714325260735</v>
      </c>
      <c r="BH65" s="151">
        <f t="shared" si="56"/>
        <v>8.736417287458723</v>
      </c>
      <c r="BI65" s="151">
        <f t="shared" si="57"/>
        <v>5.132887080938154</v>
      </c>
      <c r="BJ65" s="151">
        <f t="shared" si="58"/>
        <v>2.0582702350053497</v>
      </c>
      <c r="BK65" s="151">
        <f t="shared" si="59"/>
        <v>5.028976063143833</v>
      </c>
      <c r="BL65" s="151">
        <f t="shared" si="60"/>
        <v>4.0894769175547605</v>
      </c>
      <c r="BM65" s="151">
        <f t="shared" si="61"/>
        <v>7.0402215678894295</v>
      </c>
      <c r="BN65" s="151">
        <f t="shared" si="62"/>
        <v>7.150646939088085</v>
      </c>
      <c r="BO65" s="43"/>
      <c r="BP65" s="151">
        <f t="shared" si="63"/>
        <v>4.799863104783451</v>
      </c>
      <c r="BQ65" s="151">
        <f t="shared" si="64"/>
        <v>3.1342361729754535</v>
      </c>
      <c r="BR65" s="151">
        <f t="shared" si="65"/>
        <v>4.649963992970282</v>
      </c>
      <c r="BS65" s="151">
        <f t="shared" si="66"/>
        <v>7.379445512362708</v>
      </c>
      <c r="BT65" s="151">
        <f t="shared" si="67"/>
        <v>4.214105509030446</v>
      </c>
      <c r="BU65" s="151">
        <f t="shared" si="68"/>
        <v>-3.9462893743312892</v>
      </c>
      <c r="BV65" s="151">
        <f t="shared" si="69"/>
        <v>0.5653447893563693</v>
      </c>
      <c r="BW65" s="151">
        <f t="shared" si="70"/>
        <v>7.230109391942482</v>
      </c>
      <c r="BX65" s="151">
        <f t="shared" si="71"/>
        <v>4.083362157336374</v>
      </c>
      <c r="BY65" s="151">
        <f t="shared" si="72"/>
        <v>7.205988061483578</v>
      </c>
      <c r="BZ65" s="48"/>
      <c r="CA65" s="151">
        <f t="shared" si="73"/>
        <v>5.055498660712877</v>
      </c>
      <c r="CB65" s="151">
        <f t="shared" si="74"/>
        <v>0.2297305215707914</v>
      </c>
      <c r="CC65" s="151">
        <f t="shared" si="75"/>
        <v>5.5120905532055575</v>
      </c>
      <c r="CD65" s="151">
        <f t="shared" si="76"/>
        <v>4.122910488014695</v>
      </c>
      <c r="CE65" s="43"/>
    </row>
    <row r="66" spans="1:83" ht="12.75">
      <c r="A66" s="149">
        <v>2002</v>
      </c>
      <c r="B66" s="24">
        <v>12.37103</v>
      </c>
      <c r="C66" s="24">
        <v>9.93145</v>
      </c>
      <c r="D66" s="24">
        <v>15.32528</v>
      </c>
      <c r="E66" s="24">
        <v>14.53508</v>
      </c>
      <c r="F66" s="24">
        <v>12.43158</v>
      </c>
      <c r="G66" s="24">
        <v>12.41011</v>
      </c>
      <c r="H66" s="24">
        <v>17.29238</v>
      </c>
      <c r="I66" s="24">
        <v>16.99405</v>
      </c>
      <c r="J66" s="24">
        <v>17.86751</v>
      </c>
      <c r="K66" s="24">
        <v>18.99856</v>
      </c>
      <c r="L66" s="24">
        <v>15.92151</v>
      </c>
      <c r="M66" s="24">
        <v>3.16186</v>
      </c>
      <c r="N66" s="24">
        <v>0.81312</v>
      </c>
      <c r="O66" s="24">
        <v>4.43594</v>
      </c>
      <c r="P66" s="24">
        <v>3.55372</v>
      </c>
      <c r="Q66" s="24">
        <v>7.93459</v>
      </c>
      <c r="R66" s="24">
        <v>11.9998</v>
      </c>
      <c r="S66" s="24">
        <v>10.63721</v>
      </c>
      <c r="T66" s="24">
        <v>11.36613</v>
      </c>
      <c r="U66" s="24">
        <v>9.44948</v>
      </c>
      <c r="V66" s="24">
        <v>10.72489</v>
      </c>
      <c r="W66" s="24">
        <v>10.80691</v>
      </c>
      <c r="X66" s="24">
        <v>11.16792</v>
      </c>
      <c r="Z66" s="24">
        <v>12.78358</v>
      </c>
      <c r="AA66" s="24">
        <v>13.1437</v>
      </c>
      <c r="AB66" s="24">
        <v>12.41011</v>
      </c>
      <c r="AC66" s="24">
        <v>17.29238</v>
      </c>
      <c r="AD66" s="24">
        <v>-0.8075</v>
      </c>
      <c r="AE66" s="24">
        <v>1.88582</v>
      </c>
      <c r="AF66" s="24">
        <v>3.88513</v>
      </c>
      <c r="AG66" s="24">
        <v>10.81644</v>
      </c>
      <c r="AH66" s="24">
        <v>10.58259</v>
      </c>
      <c r="AI66" s="24">
        <v>10.96861</v>
      </c>
      <c r="AK66" s="24">
        <v>14.02633</v>
      </c>
      <c r="AL66" s="24">
        <v>3.3009</v>
      </c>
      <c r="AM66" s="24">
        <v>10.73215</v>
      </c>
      <c r="AN66" s="24">
        <v>9.63765</v>
      </c>
      <c r="AO66" s="24"/>
      <c r="AP66" s="24"/>
      <c r="AQ66" s="43"/>
      <c r="AR66" s="155">
        <f t="shared" si="77"/>
        <v>17.922885810019398</v>
      </c>
      <c r="AS66" s="151">
        <f t="shared" si="41"/>
        <v>13.695971120599015</v>
      </c>
      <c r="AT66" s="151">
        <f t="shared" si="42"/>
        <v>22.347532174996672</v>
      </c>
      <c r="AU66" s="151">
        <f t="shared" si="43"/>
        <v>24.15003597073983</v>
      </c>
      <c r="AV66" s="151">
        <f t="shared" si="44"/>
        <v>16.85200884633397</v>
      </c>
      <c r="AW66" s="151">
        <f t="shared" si="45"/>
        <v>16.562547559153582</v>
      </c>
      <c r="AX66" s="151">
        <f t="shared" si="46"/>
        <v>19.01456210306204</v>
      </c>
      <c r="AY66" s="151">
        <f t="shared" si="47"/>
        <v>18.517283304917775</v>
      </c>
      <c r="AZ66" s="151">
        <f t="shared" si="48"/>
        <v>19.569415763243455</v>
      </c>
      <c r="BA66" s="151">
        <f t="shared" si="49"/>
        <v>23.98154090575097</v>
      </c>
      <c r="BB66" s="151">
        <f t="shared" si="50"/>
        <v>17.453457847722497</v>
      </c>
      <c r="BC66" s="151">
        <f t="shared" si="51"/>
        <v>-1.791284665633879</v>
      </c>
      <c r="BD66" s="151">
        <f t="shared" si="52"/>
        <v>-9.786824144796277</v>
      </c>
      <c r="BE66" s="151">
        <f t="shared" si="53"/>
        <v>4.083185663038835</v>
      </c>
      <c r="BF66" s="151">
        <f t="shared" si="54"/>
        <v>3.6431539146918923</v>
      </c>
      <c r="BG66" s="151">
        <f t="shared" si="55"/>
        <v>7.728681541024998</v>
      </c>
      <c r="BH66" s="151">
        <f t="shared" si="56"/>
        <v>13.327370348382042</v>
      </c>
      <c r="BI66" s="151">
        <f t="shared" si="57"/>
        <v>11.931004234020502</v>
      </c>
      <c r="BJ66" s="151">
        <f t="shared" si="58"/>
        <v>13.47376433978368</v>
      </c>
      <c r="BK66" s="151">
        <f t="shared" si="59"/>
        <v>10.093641495360872</v>
      </c>
      <c r="BL66" s="151">
        <f t="shared" si="60"/>
        <v>12.332320084527364</v>
      </c>
      <c r="BM66" s="151">
        <f t="shared" si="61"/>
        <v>12.2261964320287</v>
      </c>
      <c r="BN66" s="151">
        <f t="shared" si="62"/>
        <v>12.087193789815629</v>
      </c>
      <c r="BO66" s="43"/>
      <c r="BP66" s="151">
        <f t="shared" si="63"/>
        <v>18.481726852173317</v>
      </c>
      <c r="BQ66" s="151">
        <f t="shared" si="64"/>
        <v>17.219754503394448</v>
      </c>
      <c r="BR66" s="151">
        <f t="shared" si="65"/>
        <v>16.562547559153582</v>
      </c>
      <c r="BS66" s="151">
        <f t="shared" si="66"/>
        <v>19.01456210306204</v>
      </c>
      <c r="BT66" s="151">
        <f t="shared" si="67"/>
        <v>-13.942327289779158</v>
      </c>
      <c r="BU66" s="151">
        <f t="shared" si="68"/>
        <v>-6.4209170352534</v>
      </c>
      <c r="BV66" s="151">
        <f t="shared" si="69"/>
        <v>3.3501327944969703</v>
      </c>
      <c r="BW66" s="151">
        <f t="shared" si="70"/>
        <v>12.038564344099823</v>
      </c>
      <c r="BX66" s="151">
        <f t="shared" si="71"/>
        <v>11.939468787523552</v>
      </c>
      <c r="BY66" s="151">
        <f t="shared" si="72"/>
        <v>12.443741172770231</v>
      </c>
      <c r="BZ66" s="48"/>
      <c r="CA66" s="151">
        <f t="shared" si="73"/>
        <v>18.222695093198208</v>
      </c>
      <c r="CB66" s="151">
        <f t="shared" si="74"/>
        <v>-0.9482839958828556</v>
      </c>
      <c r="CC66" s="151">
        <f t="shared" si="75"/>
        <v>11.999462273409934</v>
      </c>
      <c r="CD66" s="151">
        <f t="shared" si="76"/>
        <v>11.710389250000409</v>
      </c>
      <c r="CE66" s="43"/>
    </row>
    <row r="67" spans="1:83" ht="12.75">
      <c r="A67" s="149">
        <v>2003</v>
      </c>
      <c r="B67" s="24">
        <v>14.10302</v>
      </c>
      <c r="C67" s="24">
        <v>10.64662</v>
      </c>
      <c r="D67" s="24">
        <v>16.98124</v>
      </c>
      <c r="E67" s="24">
        <v>15.73997</v>
      </c>
      <c r="F67" s="24">
        <v>14.88774</v>
      </c>
      <c r="G67" s="24">
        <v>15.51036</v>
      </c>
      <c r="H67" s="24">
        <v>16.37631</v>
      </c>
      <c r="I67" s="24">
        <v>16.70289</v>
      </c>
      <c r="J67" s="24">
        <v>15.31434</v>
      </c>
      <c r="K67" s="24">
        <v>18.53396</v>
      </c>
      <c r="L67" s="24">
        <v>17.53244</v>
      </c>
      <c r="M67" s="24">
        <v>3.41327</v>
      </c>
      <c r="N67" s="24">
        <v>1.08481</v>
      </c>
      <c r="O67" s="24">
        <v>4.04253</v>
      </c>
      <c r="P67" s="24">
        <v>3.2374</v>
      </c>
      <c r="Q67" s="24">
        <v>6.59743</v>
      </c>
      <c r="R67" s="24">
        <v>11.18957</v>
      </c>
      <c r="S67" s="24">
        <v>11.41946</v>
      </c>
      <c r="T67" s="24">
        <v>11.9203</v>
      </c>
      <c r="U67" s="24">
        <v>9.80293</v>
      </c>
      <c r="V67" s="24">
        <v>10.51776</v>
      </c>
      <c r="W67" s="24">
        <v>12.44309</v>
      </c>
      <c r="X67" s="24">
        <v>10.63877</v>
      </c>
      <c r="Z67" s="24">
        <v>13.60561</v>
      </c>
      <c r="AA67" s="24">
        <v>15.45213</v>
      </c>
      <c r="AB67" s="24">
        <v>15.51036</v>
      </c>
      <c r="AC67" s="24">
        <v>16.37631</v>
      </c>
      <c r="AD67" s="24">
        <v>-0.55119</v>
      </c>
      <c r="AE67" s="24">
        <v>2.13715</v>
      </c>
      <c r="AF67" s="24">
        <v>2.69414</v>
      </c>
      <c r="AG67" s="24">
        <v>10.07818</v>
      </c>
      <c r="AH67" s="24">
        <v>10.66604</v>
      </c>
      <c r="AI67" s="24">
        <v>12.11468</v>
      </c>
      <c r="AK67" s="24">
        <v>15.45439</v>
      </c>
      <c r="AL67" s="24">
        <v>3.18483</v>
      </c>
      <c r="AM67" s="24">
        <v>11.23202</v>
      </c>
      <c r="AN67" s="24">
        <v>10.85392</v>
      </c>
      <c r="AO67" s="24"/>
      <c r="AP67" s="24"/>
      <c r="AQ67" s="43"/>
      <c r="AR67" s="155">
        <f t="shared" si="77"/>
        <v>15.206821846113066</v>
      </c>
      <c r="AS67" s="151">
        <f t="shared" si="41"/>
        <v>11.42556192951428</v>
      </c>
      <c r="AT67" s="151">
        <f t="shared" si="42"/>
        <v>18.223429290188644</v>
      </c>
      <c r="AU67" s="151">
        <f t="shared" si="43"/>
        <v>16.697421683011417</v>
      </c>
      <c r="AV67" s="151">
        <f t="shared" si="44"/>
        <v>15.96733809354601</v>
      </c>
      <c r="AW67" s="151">
        <f t="shared" si="45"/>
        <v>17.300726504428898</v>
      </c>
      <c r="AX67" s="151">
        <f t="shared" si="46"/>
        <v>16.206458405511423</v>
      </c>
      <c r="AY67" s="151">
        <f t="shared" si="47"/>
        <v>16.644665824279052</v>
      </c>
      <c r="AZ67" s="151">
        <f t="shared" si="48"/>
        <v>14.959591155822332</v>
      </c>
      <c r="BA67" s="151">
        <f t="shared" si="49"/>
        <v>18.34883757391311</v>
      </c>
      <c r="BB67" s="151">
        <f t="shared" si="50"/>
        <v>17.91757085455053</v>
      </c>
      <c r="BC67" s="151">
        <f t="shared" si="51"/>
        <v>3.6589028458010855</v>
      </c>
      <c r="BD67" s="151">
        <f t="shared" si="52"/>
        <v>1.4127871893758648</v>
      </c>
      <c r="BE67" s="151">
        <f t="shared" si="53"/>
        <v>3.8122748462711877</v>
      </c>
      <c r="BF67" s="151">
        <f t="shared" si="54"/>
        <v>3.1058381905067227</v>
      </c>
      <c r="BG67" s="151">
        <f t="shared" si="55"/>
        <v>6.152239437953927</v>
      </c>
      <c r="BH67" s="151">
        <f t="shared" si="56"/>
        <v>10.787844041332871</v>
      </c>
      <c r="BI67" s="151">
        <f t="shared" si="57"/>
        <v>11.848732721688867</v>
      </c>
      <c r="BJ67" s="151">
        <f t="shared" si="58"/>
        <v>12.24762054548708</v>
      </c>
      <c r="BK67" s="151">
        <f t="shared" si="59"/>
        <v>9.9251894484848</v>
      </c>
      <c r="BL67" s="151">
        <f t="shared" si="60"/>
        <v>10.368667017706759</v>
      </c>
      <c r="BM67" s="151">
        <f t="shared" si="61"/>
        <v>13.613622677898832</v>
      </c>
      <c r="BN67" s="151">
        <f t="shared" si="62"/>
        <v>10.466029523902533</v>
      </c>
      <c r="BO67" s="43"/>
      <c r="BP67" s="151">
        <f t="shared" si="63"/>
        <v>14.230468782137017</v>
      </c>
      <c r="BQ67" s="151">
        <f t="shared" si="64"/>
        <v>16.38400086492006</v>
      </c>
      <c r="BR67" s="151">
        <f t="shared" si="65"/>
        <v>17.300726504428898</v>
      </c>
      <c r="BS67" s="151">
        <f t="shared" si="66"/>
        <v>16.206458405511423</v>
      </c>
      <c r="BT67" s="151">
        <f t="shared" si="67"/>
        <v>-0.2481839974021908</v>
      </c>
      <c r="BU67" s="151">
        <f t="shared" si="68"/>
        <v>2.437791424582351</v>
      </c>
      <c r="BV67" s="151">
        <f t="shared" si="69"/>
        <v>2.126241603595349</v>
      </c>
      <c r="BW67" s="151">
        <f t="shared" si="70"/>
        <v>9.731555778145896</v>
      </c>
      <c r="BX67" s="151">
        <f t="shared" si="71"/>
        <v>10.709533546855411</v>
      </c>
      <c r="BY67" s="151">
        <f t="shared" si="72"/>
        <v>12.875609885845806</v>
      </c>
      <c r="BZ67" s="48"/>
      <c r="CA67" s="151">
        <f t="shared" si="73"/>
        <v>16.16632477522149</v>
      </c>
      <c r="CB67" s="151">
        <f t="shared" si="74"/>
        <v>3.072358611081488</v>
      </c>
      <c r="CC67" s="151">
        <f t="shared" si="75"/>
        <v>11.491807322579216</v>
      </c>
      <c r="CD67" s="151">
        <f t="shared" si="76"/>
        <v>11.739239963195988</v>
      </c>
      <c r="CE67" s="43"/>
    </row>
    <row r="68" spans="1:83" ht="12.75">
      <c r="A68" s="149">
        <v>2004</v>
      </c>
      <c r="B68" s="24">
        <v>21.096</v>
      </c>
      <c r="C68" s="24">
        <v>17.9094</v>
      </c>
      <c r="D68" s="24">
        <v>23.64138</v>
      </c>
      <c r="E68" s="24">
        <v>22.61902</v>
      </c>
      <c r="F68" s="24">
        <v>21.66823</v>
      </c>
      <c r="G68" s="24">
        <v>17.42046</v>
      </c>
      <c r="H68" s="24">
        <v>23.35938</v>
      </c>
      <c r="I68" s="24">
        <v>23.66816</v>
      </c>
      <c r="J68" s="24">
        <v>22.52219</v>
      </c>
      <c r="K68" s="24">
        <v>20.57739</v>
      </c>
      <c r="L68" s="24">
        <v>22.79177</v>
      </c>
      <c r="M68" s="24">
        <v>14.92899</v>
      </c>
      <c r="N68" s="24">
        <v>14.74066</v>
      </c>
      <c r="O68" s="24">
        <v>15.94324</v>
      </c>
      <c r="P68" s="24">
        <v>14.2787</v>
      </c>
      <c r="Q68" s="24">
        <v>16.45815</v>
      </c>
      <c r="R68" s="24">
        <v>15.57622</v>
      </c>
      <c r="S68" s="24">
        <v>17.07115</v>
      </c>
      <c r="T68" s="24">
        <v>17.37289</v>
      </c>
      <c r="U68" s="24">
        <v>15.21556</v>
      </c>
      <c r="V68" s="24">
        <v>17.4225</v>
      </c>
      <c r="W68" s="24">
        <v>17.60425</v>
      </c>
      <c r="X68" s="24">
        <v>15.9705</v>
      </c>
      <c r="Z68" s="24">
        <v>20.66589</v>
      </c>
      <c r="AA68" s="24">
        <v>21.47071</v>
      </c>
      <c r="AB68" s="24">
        <v>17.42046</v>
      </c>
      <c r="AC68" s="24">
        <v>23.35938</v>
      </c>
      <c r="AD68" s="24">
        <v>13.34868</v>
      </c>
      <c r="AE68" s="24">
        <v>17.65078</v>
      </c>
      <c r="AF68" s="24">
        <v>13.27553</v>
      </c>
      <c r="AG68" s="24">
        <v>14.80321</v>
      </c>
      <c r="AH68" s="24">
        <v>16.67913</v>
      </c>
      <c r="AI68" s="24">
        <v>17.13505</v>
      </c>
      <c r="AK68" s="24">
        <v>20.46</v>
      </c>
      <c r="AL68" s="24">
        <v>15.15174</v>
      </c>
      <c r="AM68" s="24">
        <v>16.87169</v>
      </c>
      <c r="AN68" s="24">
        <v>18.33464</v>
      </c>
      <c r="AO68" s="24"/>
      <c r="AP68" s="24"/>
      <c r="AQ68" s="43"/>
      <c r="AR68" s="155">
        <f t="shared" si="77"/>
        <v>25.552644803856683</v>
      </c>
      <c r="AS68" s="151">
        <f t="shared" si="41"/>
        <v>25.819804333008552</v>
      </c>
      <c r="AT68" s="151">
        <f t="shared" si="42"/>
        <v>28.6373669677752</v>
      </c>
      <c r="AU68" s="151">
        <f t="shared" si="43"/>
        <v>28.08537626490359</v>
      </c>
      <c r="AV68" s="151">
        <f t="shared" si="44"/>
        <v>24.648574960144206</v>
      </c>
      <c r="AW68" s="151">
        <f t="shared" si="45"/>
        <v>18.523525578617736</v>
      </c>
      <c r="AX68" s="151">
        <f t="shared" si="46"/>
        <v>24.65413430253732</v>
      </c>
      <c r="AY68" s="151">
        <f t="shared" si="47"/>
        <v>25.061026823821464</v>
      </c>
      <c r="AZ68" s="151">
        <f t="shared" si="48"/>
        <v>23.52368087467971</v>
      </c>
      <c r="BA68" s="151">
        <f t="shared" si="49"/>
        <v>21.391605925825957</v>
      </c>
      <c r="BB68" s="151">
        <f t="shared" si="50"/>
        <v>24.049137022318305</v>
      </c>
      <c r="BC68" s="151">
        <f t="shared" si="51"/>
        <v>26.180090095654403</v>
      </c>
      <c r="BD68" s="151">
        <f t="shared" si="52"/>
        <v>31.22565135609851</v>
      </c>
      <c r="BE68" s="151">
        <f t="shared" si="53"/>
        <v>22.908492053918334</v>
      </c>
      <c r="BF68" s="151">
        <f t="shared" si="54"/>
        <v>18.870927513777573</v>
      </c>
      <c r="BG68" s="151">
        <f t="shared" si="55"/>
        <v>19.741152392368125</v>
      </c>
      <c r="BH68" s="151">
        <f t="shared" si="56"/>
        <v>17.75119645926114</v>
      </c>
      <c r="BI68" s="151">
        <f t="shared" si="57"/>
        <v>20.17260905841067</v>
      </c>
      <c r="BJ68" s="151">
        <f t="shared" si="58"/>
        <v>20.593462627744938</v>
      </c>
      <c r="BK68" s="151">
        <f t="shared" si="59"/>
        <v>17.087805462306623</v>
      </c>
      <c r="BL68" s="151">
        <f t="shared" si="60"/>
        <v>22.39255879669501</v>
      </c>
      <c r="BM68" s="151">
        <f t="shared" si="61"/>
        <v>21.296573849371306</v>
      </c>
      <c r="BN68" s="151">
        <f t="shared" si="62"/>
        <v>17.711037803313122</v>
      </c>
      <c r="BO68" s="43"/>
      <c r="BP68" s="151">
        <f t="shared" si="63"/>
        <v>26.032698951432828</v>
      </c>
      <c r="BQ68" s="151">
        <f t="shared" si="64"/>
        <v>23.90030039268706</v>
      </c>
      <c r="BR68" s="151">
        <f t="shared" si="65"/>
        <v>18.523525578617736</v>
      </c>
      <c r="BS68" s="151">
        <f t="shared" si="66"/>
        <v>24.65413430253732</v>
      </c>
      <c r="BT68" s="151">
        <f t="shared" si="67"/>
        <v>29.7809067774539</v>
      </c>
      <c r="BU68" s="151">
        <f t="shared" si="68"/>
        <v>36.20821374703974</v>
      </c>
      <c r="BV68" s="151">
        <f t="shared" si="69"/>
        <v>18.321042063688367</v>
      </c>
      <c r="BW68" s="151">
        <f t="shared" si="70"/>
        <v>17.021682959373784</v>
      </c>
      <c r="BX68" s="151">
        <f t="shared" si="71"/>
        <v>19.81310976825394</v>
      </c>
      <c r="BY68" s="151">
        <f t="shared" si="72"/>
        <v>20.468310246759547</v>
      </c>
      <c r="BZ68" s="48"/>
      <c r="CA68" s="151">
        <f t="shared" si="73"/>
        <v>22.955460856124006</v>
      </c>
      <c r="CB68" s="151">
        <f t="shared" si="74"/>
        <v>26.74763031414516</v>
      </c>
      <c r="CC68" s="151">
        <f t="shared" si="75"/>
        <v>19.802681596875868</v>
      </c>
      <c r="CD68" s="151">
        <f t="shared" si="76"/>
        <v>23.779837822094997</v>
      </c>
      <c r="CE68" s="43"/>
    </row>
    <row r="69" spans="1:83" ht="12.75">
      <c r="A69" s="149">
        <v>2005</v>
      </c>
      <c r="B69" s="24">
        <v>18.82557</v>
      </c>
      <c r="C69" s="24">
        <v>21.67571</v>
      </c>
      <c r="D69" s="24">
        <v>20.21001</v>
      </c>
      <c r="E69" s="24">
        <v>19.17286</v>
      </c>
      <c r="F69" s="24">
        <v>17.3621</v>
      </c>
      <c r="G69" s="24">
        <v>16.43895</v>
      </c>
      <c r="H69" s="24">
        <v>21.37682</v>
      </c>
      <c r="I69" s="24">
        <v>21.2401</v>
      </c>
      <c r="J69" s="24">
        <v>21.19247</v>
      </c>
      <c r="K69" s="24">
        <v>17.92677</v>
      </c>
      <c r="L69" s="24">
        <v>23.10515</v>
      </c>
      <c r="M69" s="24">
        <v>20.67572</v>
      </c>
      <c r="N69" s="24">
        <v>22.32839</v>
      </c>
      <c r="O69" s="24">
        <v>18.37878</v>
      </c>
      <c r="P69" s="24">
        <v>17.6596</v>
      </c>
      <c r="Q69" s="24">
        <v>17.3855</v>
      </c>
      <c r="R69" s="24">
        <v>18.4353</v>
      </c>
      <c r="S69" s="24">
        <v>18.32693</v>
      </c>
      <c r="T69" s="24">
        <v>18.95271</v>
      </c>
      <c r="U69" s="24">
        <v>17.81235</v>
      </c>
      <c r="V69" s="24">
        <v>18.45572</v>
      </c>
      <c r="W69" s="24">
        <v>18.20734</v>
      </c>
      <c r="X69" s="24">
        <v>18.61808</v>
      </c>
      <c r="Z69" s="24">
        <v>20.35829</v>
      </c>
      <c r="AA69" s="24">
        <v>17.41271</v>
      </c>
      <c r="AB69" s="24">
        <v>16.43895</v>
      </c>
      <c r="AC69" s="24">
        <v>21.37682</v>
      </c>
      <c r="AD69" s="24">
        <v>17.3298</v>
      </c>
      <c r="AE69" s="24">
        <v>23.45709</v>
      </c>
      <c r="AF69" s="24">
        <v>20.33264</v>
      </c>
      <c r="AG69" s="24">
        <v>18.43669</v>
      </c>
      <c r="AH69" s="24">
        <v>18.47181</v>
      </c>
      <c r="AI69" s="24">
        <v>18.26863</v>
      </c>
      <c r="AK69" s="24">
        <v>18.90017</v>
      </c>
      <c r="AL69" s="24">
        <v>20.2839</v>
      </c>
      <c r="AM69" s="24">
        <v>18.37778</v>
      </c>
      <c r="AN69" s="24">
        <v>19.10021</v>
      </c>
      <c r="AO69" s="43"/>
      <c r="AP69" s="43"/>
      <c r="AQ69" s="43"/>
      <c r="AR69" s="155">
        <f aca="true" t="shared" si="78" ref="AR69:BN69">+(B69-B$5*B68)/(1-B$5)</f>
        <v>17.378618905899867</v>
      </c>
      <c r="AS69" s="151">
        <f t="shared" si="78"/>
        <v>25.777863024524137</v>
      </c>
      <c r="AT69" s="151">
        <f t="shared" si="78"/>
        <v>17.63602810147913</v>
      </c>
      <c r="AU69" s="151">
        <f t="shared" si="78"/>
        <v>16.434409442748613</v>
      </c>
      <c r="AV69" s="151">
        <f t="shared" si="78"/>
        <v>15.469352891276921</v>
      </c>
      <c r="AW69" s="151">
        <f t="shared" si="78"/>
        <v>15.872136798560756</v>
      </c>
      <c r="AX69" s="151">
        <f t="shared" si="78"/>
        <v>21.009226937058003</v>
      </c>
      <c r="AY69" s="151">
        <f t="shared" si="78"/>
        <v>20.75455324872576</v>
      </c>
      <c r="AZ69" s="151">
        <f t="shared" si="78"/>
        <v>21.007712763670288</v>
      </c>
      <c r="BA69" s="151">
        <f t="shared" si="78"/>
        <v>16.870615878100647</v>
      </c>
      <c r="BB69" s="151">
        <f t="shared" si="78"/>
        <v>23.180070888678614</v>
      </c>
      <c r="BC69" s="151">
        <f t="shared" si="78"/>
        <v>26.29039580426582</v>
      </c>
      <c r="BD69" s="151">
        <f t="shared" si="78"/>
        <v>31.48810275771258</v>
      </c>
      <c r="BE69" s="151">
        <f t="shared" si="78"/>
        <v>19.804253773195068</v>
      </c>
      <c r="BF69" s="151">
        <f t="shared" si="78"/>
        <v>19.06576249910161</v>
      </c>
      <c r="BG69" s="151">
        <f t="shared" si="78"/>
        <v>17.69424948974949</v>
      </c>
      <c r="BH69" s="151">
        <f t="shared" si="78"/>
        <v>19.85288100034066</v>
      </c>
      <c r="BI69" s="151">
        <f t="shared" si="78"/>
        <v>19.01606019935116</v>
      </c>
      <c r="BJ69" s="151">
        <f t="shared" si="78"/>
        <v>19.885830782740676</v>
      </c>
      <c r="BK69" s="151">
        <f t="shared" si="78"/>
        <v>18.71058769481069</v>
      </c>
      <c r="BL69" s="151">
        <f t="shared" si="78"/>
        <v>19.199435787983504</v>
      </c>
      <c r="BM69" s="151">
        <f t="shared" si="78"/>
        <v>18.638794089839752</v>
      </c>
      <c r="BN69" s="151">
        <f t="shared" si="78"/>
        <v>19.48237978211495</v>
      </c>
      <c r="BO69" s="43"/>
      <c r="BP69" s="151">
        <f aca="true" t="shared" si="79" ref="BP69:BY69">+(Z69-Z$5*Z68)/(1-Z$5)</f>
        <v>20.12447059999593</v>
      </c>
      <c r="BQ69" s="151">
        <f t="shared" si="79"/>
        <v>15.774569805215835</v>
      </c>
      <c r="BR69" s="151">
        <f t="shared" si="79"/>
        <v>15.872136798560756</v>
      </c>
      <c r="BS69" s="151">
        <f t="shared" si="79"/>
        <v>21.009226937058003</v>
      </c>
      <c r="BT69" s="151">
        <f t="shared" si="79"/>
        <v>22.036222913901877</v>
      </c>
      <c r="BU69" s="151">
        <f t="shared" si="79"/>
        <v>30.402609078370077</v>
      </c>
      <c r="BV69" s="151">
        <f t="shared" si="79"/>
        <v>23.697673671358473</v>
      </c>
      <c r="BW69" s="151">
        <f t="shared" si="79"/>
        <v>20.142663745865203</v>
      </c>
      <c r="BX69" s="151">
        <f t="shared" si="79"/>
        <v>19.406142074017435</v>
      </c>
      <c r="BY69" s="151">
        <f t="shared" si="79"/>
        <v>19.021267186207726</v>
      </c>
      <c r="BZ69" s="48"/>
      <c r="CA69" s="151">
        <f>+(AK69-AK$5*AK68)/(1-AK$5)</f>
        <v>18.12254355542923</v>
      </c>
      <c r="CB69" s="151">
        <f>+(AL69-AL$5*AL68)/(1-AL$5)</f>
        <v>25.256943537107176</v>
      </c>
      <c r="CC69" s="151">
        <f>+(AM69-AM$5*AM68)/(1-AM$5)</f>
        <v>19.1605096870453</v>
      </c>
      <c r="CD69" s="151">
        <f>+(AN69-AN$5*AN68)/(1-AN$5)</f>
        <v>19.657466533684094</v>
      </c>
      <c r="CE69" s="40"/>
    </row>
    <row r="70" spans="1:82" ht="12.75">
      <c r="A70" s="150"/>
      <c r="AO70" s="43"/>
      <c r="AP70" s="43"/>
      <c r="AQ70" s="43"/>
      <c r="AS70" s="43"/>
      <c r="AT70" s="43"/>
      <c r="AU70" s="43"/>
      <c r="AV70" s="43"/>
      <c r="AW70" s="43"/>
      <c r="AX70" s="43"/>
      <c r="AY70" s="43"/>
      <c r="AZ70" s="43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</row>
    <row r="71" spans="1:82" ht="16.5" thickBot="1">
      <c r="A71" s="148" t="s">
        <v>126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34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34"/>
      <c r="AK71" s="89"/>
      <c r="AL71" s="89"/>
      <c r="AM71" s="89"/>
      <c r="AN71" s="89"/>
      <c r="AO71" s="43"/>
      <c r="AP71" s="43"/>
      <c r="AQ71" s="43"/>
      <c r="AR71" s="156" t="s">
        <v>125</v>
      </c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53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53"/>
      <c r="CB71" s="89"/>
      <c r="CC71" s="89"/>
      <c r="CD71" s="89"/>
    </row>
    <row r="72" spans="1:82" ht="51">
      <c r="A72" s="150"/>
      <c r="B72" s="42" t="s">
        <v>32</v>
      </c>
      <c r="C72" s="42" t="s">
        <v>33</v>
      </c>
      <c r="D72" s="42" t="s">
        <v>34</v>
      </c>
      <c r="E72" s="42" t="s">
        <v>35</v>
      </c>
      <c r="F72" s="42" t="s">
        <v>36</v>
      </c>
      <c r="G72" s="42" t="s">
        <v>37</v>
      </c>
      <c r="H72" s="42" t="s">
        <v>38</v>
      </c>
      <c r="I72" s="42" t="s">
        <v>39</v>
      </c>
      <c r="J72" s="86" t="s">
        <v>40</v>
      </c>
      <c r="K72" s="42" t="s">
        <v>41</v>
      </c>
      <c r="L72" s="42" t="s">
        <v>42</v>
      </c>
      <c r="M72" s="42" t="s">
        <v>43</v>
      </c>
      <c r="N72" s="42" t="s">
        <v>78</v>
      </c>
      <c r="O72" s="42" t="s">
        <v>34</v>
      </c>
      <c r="P72" s="86" t="s">
        <v>44</v>
      </c>
      <c r="Q72" s="86" t="s">
        <v>45</v>
      </c>
      <c r="R72" s="42" t="s">
        <v>36</v>
      </c>
      <c r="S72" s="42" t="s">
        <v>46</v>
      </c>
      <c r="T72" s="42" t="s">
        <v>47</v>
      </c>
      <c r="U72" s="86" t="s">
        <v>44</v>
      </c>
      <c r="V72" s="42" t="s">
        <v>45</v>
      </c>
      <c r="W72" s="42" t="s">
        <v>36</v>
      </c>
      <c r="X72" s="42" t="s">
        <v>48</v>
      </c>
      <c r="Z72" s="86" t="s">
        <v>79</v>
      </c>
      <c r="AA72" s="42" t="s">
        <v>80</v>
      </c>
      <c r="AB72" s="42" t="s">
        <v>49</v>
      </c>
      <c r="AC72" s="42" t="s">
        <v>50</v>
      </c>
      <c r="AD72" s="42" t="s">
        <v>51</v>
      </c>
      <c r="AE72" s="42" t="s">
        <v>52</v>
      </c>
      <c r="AF72" s="42" t="s">
        <v>53</v>
      </c>
      <c r="AG72" s="42" t="s">
        <v>54</v>
      </c>
      <c r="AH72" s="42" t="s">
        <v>81</v>
      </c>
      <c r="AI72" s="42" t="s">
        <v>82</v>
      </c>
      <c r="AK72" s="133" t="s">
        <v>56</v>
      </c>
      <c r="AL72" s="133" t="s">
        <v>57</v>
      </c>
      <c r="AM72" s="133" t="s">
        <v>55</v>
      </c>
      <c r="AN72" s="133" t="s">
        <v>30</v>
      </c>
      <c r="AO72" s="43"/>
      <c r="AP72" s="43"/>
      <c r="AQ72" s="43"/>
      <c r="AR72" s="42" t="s">
        <v>32</v>
      </c>
      <c r="AS72" s="42" t="s">
        <v>33</v>
      </c>
      <c r="AT72" s="42" t="s">
        <v>34</v>
      </c>
      <c r="AU72" s="42" t="s">
        <v>35</v>
      </c>
      <c r="AV72" s="42" t="s">
        <v>36</v>
      </c>
      <c r="AW72" s="42" t="s">
        <v>37</v>
      </c>
      <c r="AX72" s="42" t="s">
        <v>38</v>
      </c>
      <c r="AY72" s="42" t="s">
        <v>39</v>
      </c>
      <c r="AZ72" s="86" t="s">
        <v>40</v>
      </c>
      <c r="BA72" s="42" t="s">
        <v>41</v>
      </c>
      <c r="BB72" s="42" t="s">
        <v>42</v>
      </c>
      <c r="BC72" s="42" t="s">
        <v>43</v>
      </c>
      <c r="BD72" s="42" t="s">
        <v>78</v>
      </c>
      <c r="BE72" s="42" t="s">
        <v>34</v>
      </c>
      <c r="BF72" s="86" t="s">
        <v>44</v>
      </c>
      <c r="BG72" s="86" t="s">
        <v>45</v>
      </c>
      <c r="BH72" s="42" t="s">
        <v>36</v>
      </c>
      <c r="BI72" s="42" t="s">
        <v>46</v>
      </c>
      <c r="BJ72" s="42" t="s">
        <v>47</v>
      </c>
      <c r="BK72" s="86" t="s">
        <v>44</v>
      </c>
      <c r="BL72" s="42" t="s">
        <v>45</v>
      </c>
      <c r="BM72" s="42" t="s">
        <v>36</v>
      </c>
      <c r="BN72" s="42" t="s">
        <v>48</v>
      </c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</row>
    <row r="73" spans="1:82" ht="12.75">
      <c r="A73" s="150">
        <v>1980</v>
      </c>
      <c r="B73" s="43">
        <v>100</v>
      </c>
      <c r="C73" s="43">
        <v>100</v>
      </c>
      <c r="D73" s="43">
        <v>100</v>
      </c>
      <c r="E73" s="43">
        <v>100</v>
      </c>
      <c r="F73" s="43">
        <v>100</v>
      </c>
      <c r="G73" s="43">
        <v>100</v>
      </c>
      <c r="H73" s="43">
        <v>100</v>
      </c>
      <c r="I73" s="43">
        <v>100</v>
      </c>
      <c r="J73" s="43">
        <v>100</v>
      </c>
      <c r="K73" s="43">
        <v>100</v>
      </c>
      <c r="L73" s="43">
        <v>100</v>
      </c>
      <c r="M73" s="43">
        <v>100</v>
      </c>
      <c r="N73" s="43">
        <v>100</v>
      </c>
      <c r="O73" s="43">
        <v>100</v>
      </c>
      <c r="P73" s="43">
        <v>100</v>
      </c>
      <c r="Q73" s="43">
        <v>100</v>
      </c>
      <c r="R73" s="43">
        <v>100</v>
      </c>
      <c r="S73" s="43">
        <v>100</v>
      </c>
      <c r="T73" s="43">
        <v>100</v>
      </c>
      <c r="U73" s="43">
        <v>100</v>
      </c>
      <c r="V73" s="43">
        <v>100</v>
      </c>
      <c r="W73" s="43">
        <v>100</v>
      </c>
      <c r="X73" s="43">
        <v>100</v>
      </c>
      <c r="Z73" s="43">
        <v>100</v>
      </c>
      <c r="AA73" s="43">
        <v>100</v>
      </c>
      <c r="AB73" s="43">
        <v>100</v>
      </c>
      <c r="AC73" s="43">
        <v>100</v>
      </c>
      <c r="AD73" s="43">
        <v>100</v>
      </c>
      <c r="AE73" s="43">
        <v>100</v>
      </c>
      <c r="AF73" s="43">
        <v>100</v>
      </c>
      <c r="AG73" s="43">
        <v>100</v>
      </c>
      <c r="AH73" s="43">
        <v>100</v>
      </c>
      <c r="AI73" s="43">
        <v>100</v>
      </c>
      <c r="AK73" s="43">
        <v>100</v>
      </c>
      <c r="AL73" s="43">
        <v>100</v>
      </c>
      <c r="AM73" s="43">
        <v>100</v>
      </c>
      <c r="AN73" s="43">
        <v>100</v>
      </c>
      <c r="AO73" s="43"/>
      <c r="AP73" s="43"/>
      <c r="AQ73" s="43"/>
      <c r="AR73" s="43">
        <v>100</v>
      </c>
      <c r="AS73" s="43">
        <v>100</v>
      </c>
      <c r="AT73" s="43">
        <v>100</v>
      </c>
      <c r="AU73" s="43">
        <v>100</v>
      </c>
      <c r="AV73" s="43">
        <v>100</v>
      </c>
      <c r="AW73" s="43">
        <v>100</v>
      </c>
      <c r="AX73" s="43">
        <v>100</v>
      </c>
      <c r="AY73" s="43">
        <v>100</v>
      </c>
      <c r="AZ73" s="43">
        <v>100</v>
      </c>
      <c r="BA73" s="43">
        <v>100</v>
      </c>
      <c r="BB73" s="43">
        <v>100</v>
      </c>
      <c r="BC73" s="43">
        <v>100</v>
      </c>
      <c r="BD73" s="43">
        <v>100</v>
      </c>
      <c r="BE73" s="43">
        <v>100</v>
      </c>
      <c r="BF73" s="43">
        <v>100</v>
      </c>
      <c r="BG73" s="43">
        <v>100</v>
      </c>
      <c r="BH73" s="43">
        <v>100</v>
      </c>
      <c r="BI73" s="43">
        <v>100</v>
      </c>
      <c r="BJ73" s="43">
        <v>100</v>
      </c>
      <c r="BK73" s="43">
        <v>100</v>
      </c>
      <c r="BL73" s="43">
        <v>100</v>
      </c>
      <c r="BM73" s="43">
        <v>100</v>
      </c>
      <c r="BN73" s="43">
        <v>100</v>
      </c>
      <c r="BO73" s="43"/>
      <c r="BP73" s="43">
        <v>100</v>
      </c>
      <c r="BQ73" s="43">
        <v>100</v>
      </c>
      <c r="BR73" s="43">
        <v>100</v>
      </c>
      <c r="BS73" s="43">
        <v>100</v>
      </c>
      <c r="BT73" s="43">
        <v>100</v>
      </c>
      <c r="BU73" s="43">
        <v>100</v>
      </c>
      <c r="BV73" s="43">
        <v>100</v>
      </c>
      <c r="BW73" s="43">
        <v>100</v>
      </c>
      <c r="BX73" s="43">
        <v>100</v>
      </c>
      <c r="BY73" s="43">
        <v>100</v>
      </c>
      <c r="BZ73" s="43"/>
      <c r="CA73" s="43">
        <v>100</v>
      </c>
      <c r="CB73" s="43">
        <v>100</v>
      </c>
      <c r="CC73" s="43">
        <v>100</v>
      </c>
      <c r="CD73" s="43">
        <v>100</v>
      </c>
    </row>
    <row r="74" spans="1:82" ht="12.75">
      <c r="A74" s="150">
        <v>1981</v>
      </c>
      <c r="B74" s="43">
        <f aca="true" t="shared" si="80" ref="B74:B98">+B73*(1+B45/100)</f>
        <v>118.72748</v>
      </c>
      <c r="C74" s="43">
        <f aca="true" t="shared" si="81" ref="C74:C98">+C73*(1+C45/100)</f>
        <v>109.90245999999999</v>
      </c>
      <c r="D74" s="43">
        <f aca="true" t="shared" si="82" ref="D74:D98">+D73*(1+D45/100)</f>
        <v>120.58615999999999</v>
      </c>
      <c r="E74" s="43">
        <f aca="true" t="shared" si="83" ref="E74:E98">+E73*(1+E45/100)</f>
        <v>121.99174</v>
      </c>
      <c r="F74" s="43">
        <f aca="true" t="shared" si="84" ref="F74:F98">+F73*(1+F45/100)</f>
        <v>120.4911</v>
      </c>
      <c r="G74" s="43">
        <f aca="true" t="shared" si="85" ref="G74:G98">+G73*(1+G45/100)</f>
        <v>115.32800999999999</v>
      </c>
      <c r="H74" s="43">
        <f aca="true" t="shared" si="86" ref="H74:H98">+H73*(1+H45/100)</f>
        <v>114.21344</v>
      </c>
      <c r="I74" s="43">
        <f aca="true" t="shared" si="87" ref="I74:I98">+I73*(1+I45/100)</f>
        <v>113.1918</v>
      </c>
      <c r="J74" s="43">
        <f aca="true" t="shared" si="88" ref="J74:J98">+J73*(1+J45/100)</f>
        <v>115.0587</v>
      </c>
      <c r="K74" s="43">
        <f aca="true" t="shared" si="89" ref="K74:K98">+K73*(1+K45/100)</f>
        <v>115.48731000000001</v>
      </c>
      <c r="L74" s="43">
        <f aca="true" t="shared" si="90" ref="L74:L98">+L73*(1+L45/100)</f>
        <v>116.50784</v>
      </c>
      <c r="M74" s="43">
        <f aca="true" t="shared" si="91" ref="M74:M98">+M73*(1+M45/100)</f>
        <v>115.01646000000001</v>
      </c>
      <c r="N74" s="43">
        <f aca="true" t="shared" si="92" ref="N74:N98">+N73*(1+N45/100)</f>
        <v>115.65707</v>
      </c>
      <c r="O74" s="43">
        <f aca="true" t="shared" si="93" ref="O74:O98">+O73*(1+O45/100)</f>
        <v>114.52477</v>
      </c>
      <c r="P74" s="43">
        <f aca="true" t="shared" si="94" ref="P74:P98">+P73*(1+P45/100)</f>
        <v>115.21300000000001</v>
      </c>
      <c r="Q74" s="43">
        <f aca="true" t="shared" si="95" ref="Q74:Q98">+Q73*(1+Q45/100)</f>
        <v>115.88562</v>
      </c>
      <c r="R74" s="43">
        <f aca="true" t="shared" si="96" ref="R74:R98">+R73*(1+R45/100)</f>
        <v>112.57310999999999</v>
      </c>
      <c r="S74" s="43">
        <f aca="true" t="shared" si="97" ref="S74:S98">+S73*(1+S45/100)</f>
        <v>111.96136999999999</v>
      </c>
      <c r="T74" s="43">
        <f aca="true" t="shared" si="98" ref="T74:T98">+T73*(1+T45/100)</f>
        <v>112.42394</v>
      </c>
      <c r="U74" s="43">
        <f aca="true" t="shared" si="99" ref="U74:U98">+U73*(1+U45/100)</f>
        <v>113.00110000000001</v>
      </c>
      <c r="V74" s="43">
        <f aca="true" t="shared" si="100" ref="V74:V98">+V73*(1+V45/100)</f>
        <v>114.5845</v>
      </c>
      <c r="W74" s="43">
        <f aca="true" t="shared" si="101" ref="W74:W98">+W73*(1+W45/100)</f>
        <v>109.43338</v>
      </c>
      <c r="X74" s="43">
        <f aca="true" t="shared" si="102" ref="X74:X98">+X73*(1+X45/100)</f>
        <v>114.76038</v>
      </c>
      <c r="Z74" s="43">
        <f aca="true" t="shared" si="103" ref="Z74:Z98">+Z73*(1+Z45/100)</f>
        <v>117.52177999999999</v>
      </c>
      <c r="AA74" s="43">
        <f aca="true" t="shared" si="104" ref="AA74:AA98">+AA73*(1+AA45/100)</f>
        <v>119.45840000000001</v>
      </c>
      <c r="AB74" s="43">
        <f aca="true" t="shared" si="105" ref="AB74:AB98">+AB73*(1+AB45/100)</f>
        <v>115.32800999999999</v>
      </c>
      <c r="AC74" s="43">
        <f aca="true" t="shared" si="106" ref="AC74:AC98">+AC73*(1+AC45/100)</f>
        <v>114.21344</v>
      </c>
      <c r="AD74" s="43">
        <f aca="true" t="shared" si="107" ref="AD74:AD98">+AD73*(1+AD45/100)</f>
        <v>116.25618</v>
      </c>
      <c r="AE74" s="43">
        <f aca="true" t="shared" si="108" ref="AE74:AE98">+AE73*(1+AE45/100)</f>
        <v>115.7695</v>
      </c>
      <c r="AF74" s="43">
        <f aca="true" t="shared" si="109" ref="AF74:AF98">+AF73*(1+AF45/100)</f>
        <v>114.26472999999999</v>
      </c>
      <c r="AG74" s="43">
        <f aca="true" t="shared" si="110" ref="AG74:AG98">+AG73*(1+AG45/100)</f>
        <v>112.59083000000001</v>
      </c>
      <c r="AH74" s="43">
        <f aca="true" t="shared" si="111" ref="AH74:AH98">+AH73*(1+AH45/100)</f>
        <v>113.36205</v>
      </c>
      <c r="AI74" s="43">
        <f aca="true" t="shared" si="112" ref="AI74:AI98">+AI73*(1+AI45/100)</f>
        <v>109.55604000000001</v>
      </c>
      <c r="AK74" s="43">
        <f aca="true" t="shared" si="113" ref="AK74:AK98">+AK73*(1+AK45/100)</f>
        <v>117.31340000000002</v>
      </c>
      <c r="AL74" s="43">
        <f aca="true" t="shared" si="114" ref="AL74:AL98">+AL73*(1+AL45/100)</f>
        <v>115.02231</v>
      </c>
      <c r="AM74" s="43">
        <f aca="true" t="shared" si="115" ref="AM74:AM98">+AM73*(1+AM45/100)</f>
        <v>112.05317</v>
      </c>
      <c r="AN74" s="43">
        <f aca="true" t="shared" si="116" ref="AN74:AN98">+AN73*(1+AN45/100)</f>
        <v>114.97569000000001</v>
      </c>
      <c r="AO74" s="43"/>
      <c r="AP74" s="43"/>
      <c r="AQ74" s="43"/>
      <c r="AR74" s="43">
        <f aca="true" t="shared" si="117" ref="AR74:AR98">+AR73*(1+AR45/100)</f>
        <v>118.72748</v>
      </c>
      <c r="AS74" s="43">
        <f aca="true" t="shared" si="118" ref="AS74:AS98">+AS73*(1+AS45/100)</f>
        <v>109.90245999999999</v>
      </c>
      <c r="AT74" s="43">
        <f aca="true" t="shared" si="119" ref="AT74:AT98">+AT73*(1+AT45/100)</f>
        <v>120.58615999999999</v>
      </c>
      <c r="AU74" s="43">
        <f aca="true" t="shared" si="120" ref="AU74:AU98">+AU73*(1+AU45/100)</f>
        <v>121.99174</v>
      </c>
      <c r="AV74" s="43">
        <f aca="true" t="shared" si="121" ref="AV74:AV98">+AV73*(1+AV45/100)</f>
        <v>120.4911</v>
      </c>
      <c r="AW74" s="43">
        <f aca="true" t="shared" si="122" ref="AW74:AW98">+AW73*(1+AW45/100)</f>
        <v>115.32800999999999</v>
      </c>
      <c r="AX74" s="43">
        <f aca="true" t="shared" si="123" ref="AX74:AX98">+AX73*(1+AX45/100)</f>
        <v>114.21344</v>
      </c>
      <c r="AY74" s="43">
        <f aca="true" t="shared" si="124" ref="AY74:AY98">+AY73*(1+AY45/100)</f>
        <v>113.1918</v>
      </c>
      <c r="AZ74" s="43">
        <f aca="true" t="shared" si="125" ref="AZ74:AZ98">+AZ73*(1+AZ45/100)</f>
        <v>115.0587</v>
      </c>
      <c r="BA74" s="43">
        <f aca="true" t="shared" si="126" ref="BA74:BA98">+BA73*(1+BA45/100)</f>
        <v>115.48731000000001</v>
      </c>
      <c r="BB74" s="43">
        <f aca="true" t="shared" si="127" ref="BB74:BB98">+BB73*(1+BB45/100)</f>
        <v>116.50784</v>
      </c>
      <c r="BC74" s="43">
        <f aca="true" t="shared" si="128" ref="BC74:BC98">+BC73*(1+BC45/100)</f>
        <v>115.01646000000001</v>
      </c>
      <c r="BD74" s="43">
        <f aca="true" t="shared" si="129" ref="BD74:BD98">+BD73*(1+BD45/100)</f>
        <v>115.65707</v>
      </c>
      <c r="BE74" s="43">
        <f aca="true" t="shared" si="130" ref="BE74:BE98">+BE73*(1+BE45/100)</f>
        <v>114.52477</v>
      </c>
      <c r="BF74" s="43">
        <f aca="true" t="shared" si="131" ref="BF74:BF98">+BF73*(1+BF45/100)</f>
        <v>115.21300000000001</v>
      </c>
      <c r="BG74" s="43">
        <f aca="true" t="shared" si="132" ref="BG74:BG98">+BG73*(1+BG45/100)</f>
        <v>115.88562</v>
      </c>
      <c r="BH74" s="43">
        <f aca="true" t="shared" si="133" ref="BH74:BH98">+BH73*(1+BH45/100)</f>
        <v>112.57310999999999</v>
      </c>
      <c r="BI74" s="43">
        <f aca="true" t="shared" si="134" ref="BI74:BI98">+BI73*(1+BI45/100)</f>
        <v>111.96136999999999</v>
      </c>
      <c r="BJ74" s="43">
        <f aca="true" t="shared" si="135" ref="BJ74:BJ98">+BJ73*(1+BJ45/100)</f>
        <v>112.42394</v>
      </c>
      <c r="BK74" s="43">
        <f aca="true" t="shared" si="136" ref="BK74:BK98">+BK73*(1+BK45/100)</f>
        <v>113.00110000000001</v>
      </c>
      <c r="BL74" s="43">
        <f aca="true" t="shared" si="137" ref="BL74:BL98">+BL73*(1+BL45/100)</f>
        <v>114.5845</v>
      </c>
      <c r="BM74" s="43">
        <f aca="true" t="shared" si="138" ref="BM74:BM98">+BM73*(1+BM45/100)</f>
        <v>109.43338</v>
      </c>
      <c r="BN74" s="43">
        <f aca="true" t="shared" si="139" ref="BN74:BN98">+BN73*(1+BN45/100)</f>
        <v>114.76038</v>
      </c>
      <c r="BO74" s="43"/>
      <c r="BP74" s="43">
        <f aca="true" t="shared" si="140" ref="BP74:BP98">+BP73*(1+BP45/100)</f>
        <v>117.52177999999999</v>
      </c>
      <c r="BQ74" s="43">
        <f aca="true" t="shared" si="141" ref="BQ74:BQ98">+BQ73*(1+BQ45/100)</f>
        <v>119.45840000000001</v>
      </c>
      <c r="BR74" s="43">
        <f aca="true" t="shared" si="142" ref="BR74:BR98">+BR73*(1+BR45/100)</f>
        <v>115.32800999999999</v>
      </c>
      <c r="BS74" s="43">
        <f aca="true" t="shared" si="143" ref="BS74:BS98">+BS73*(1+BS45/100)</f>
        <v>114.21344</v>
      </c>
      <c r="BT74" s="43">
        <f aca="true" t="shared" si="144" ref="BT74:BT98">+BT73*(1+BT45/100)</f>
        <v>116.25618</v>
      </c>
      <c r="BU74" s="43">
        <f aca="true" t="shared" si="145" ref="BU74:BU98">+BU73*(1+BU45/100)</f>
        <v>115.7695</v>
      </c>
      <c r="BV74" s="43">
        <f aca="true" t="shared" si="146" ref="BV74:BV98">+BV73*(1+BV45/100)</f>
        <v>114.26472999999999</v>
      </c>
      <c r="BW74" s="43">
        <f aca="true" t="shared" si="147" ref="BW74:BW98">+BW73*(1+BW45/100)</f>
        <v>112.59083000000001</v>
      </c>
      <c r="BX74" s="43">
        <f aca="true" t="shared" si="148" ref="BX74:BX98">+BX73*(1+BX45/100)</f>
        <v>113.36205</v>
      </c>
      <c r="BY74" s="43">
        <f aca="true" t="shared" si="149" ref="BY74:BY98">+BY73*(1+BY45/100)</f>
        <v>109.55604000000001</v>
      </c>
      <c r="BZ74" s="43"/>
      <c r="CA74" s="43">
        <f aca="true" t="shared" si="150" ref="CA74:CA98">+CA73*(1+CA45/100)</f>
        <v>117.31340000000002</v>
      </c>
      <c r="CB74" s="43">
        <f aca="true" t="shared" si="151" ref="CB74:CB98">+CB73*(1+CB45/100)</f>
        <v>115.02231</v>
      </c>
      <c r="CC74" s="43">
        <f aca="true" t="shared" si="152" ref="CC74:CC98">+CC73*(1+CC45/100)</f>
        <v>112.05317</v>
      </c>
      <c r="CD74" s="43">
        <f aca="true" t="shared" si="153" ref="CD74:CD98">+CD73*(1+CD45/100)</f>
        <v>114.97569000000001</v>
      </c>
    </row>
    <row r="75" spans="1:82" ht="12.75">
      <c r="A75" s="150">
        <v>1982</v>
      </c>
      <c r="B75" s="43">
        <f t="shared" si="80"/>
        <v>130.963498470556</v>
      </c>
      <c r="C75" s="43">
        <f t="shared" si="81"/>
        <v>111.56789989834799</v>
      </c>
      <c r="D75" s="43">
        <f t="shared" si="82"/>
        <v>134.272399753216</v>
      </c>
      <c r="E75" s="43">
        <f t="shared" si="83"/>
        <v>138.89259765134</v>
      </c>
      <c r="F75" s="43">
        <f t="shared" si="84"/>
        <v>134.53990439382</v>
      </c>
      <c r="G75" s="43">
        <f t="shared" si="85"/>
        <v>127.401941555721</v>
      </c>
      <c r="H75" s="43">
        <f t="shared" si="86"/>
        <v>127.740845569568</v>
      </c>
      <c r="I75" s="43">
        <f t="shared" si="87"/>
        <v>129.1446561207</v>
      </c>
      <c r="J75" s="43">
        <f t="shared" si="88"/>
        <v>127.33924872122999</v>
      </c>
      <c r="K75" s="43">
        <f t="shared" si="89"/>
        <v>126.966148079988</v>
      </c>
      <c r="L75" s="43">
        <f t="shared" si="90"/>
        <v>128.99241235696002</v>
      </c>
      <c r="M75" s="43">
        <f t="shared" si="91"/>
        <v>122.74899360250801</v>
      </c>
      <c r="N75" s="43">
        <f t="shared" si="92"/>
        <v>123.18377767004601</v>
      </c>
      <c r="O75" s="43">
        <f t="shared" si="93"/>
        <v>119.477347868742</v>
      </c>
      <c r="P75" s="43">
        <f t="shared" si="94"/>
        <v>124.08481576680002</v>
      </c>
      <c r="Q75" s="43">
        <f t="shared" si="95"/>
        <v>126.054571566438</v>
      </c>
      <c r="R75" s="43">
        <f t="shared" si="96"/>
        <v>121.59769096550399</v>
      </c>
      <c r="S75" s="43">
        <f t="shared" si="97"/>
        <v>118.39301329192399</v>
      </c>
      <c r="T75" s="43">
        <f t="shared" si="98"/>
        <v>119.06494580213399</v>
      </c>
      <c r="U75" s="43">
        <f t="shared" si="99"/>
        <v>122.63576588787001</v>
      </c>
      <c r="V75" s="43">
        <f t="shared" si="100"/>
        <v>120.25999632795</v>
      </c>
      <c r="W75" s="43">
        <f t="shared" si="101"/>
        <v>114.755278476132</v>
      </c>
      <c r="X75" s="43">
        <f t="shared" si="102"/>
        <v>119.93594690158199</v>
      </c>
      <c r="Z75" s="43">
        <f t="shared" si="103"/>
        <v>128.718855624348</v>
      </c>
      <c r="AA75" s="43">
        <f t="shared" si="104"/>
        <v>133.13276721048</v>
      </c>
      <c r="AB75" s="43">
        <f t="shared" si="105"/>
        <v>127.401941555721</v>
      </c>
      <c r="AC75" s="43">
        <f t="shared" si="106"/>
        <v>127.740845569568</v>
      </c>
      <c r="AD75" s="43">
        <f t="shared" si="107"/>
        <v>127.777841723844</v>
      </c>
      <c r="AE75" s="43">
        <f t="shared" si="108"/>
        <v>120.67736272129999</v>
      </c>
      <c r="AF75" s="43">
        <f t="shared" si="109"/>
        <v>121.253240872111</v>
      </c>
      <c r="AG75" s="43">
        <f t="shared" si="110"/>
        <v>121.65444811041502</v>
      </c>
      <c r="AH75" s="43">
        <f t="shared" si="111"/>
        <v>120.311563104585</v>
      </c>
      <c r="AI75" s="43">
        <f t="shared" si="112"/>
        <v>114.94333775535601</v>
      </c>
      <c r="AK75" s="43">
        <f t="shared" si="113"/>
        <v>129.4912934571</v>
      </c>
      <c r="AL75" s="43">
        <f t="shared" si="114"/>
        <v>122.766635607759</v>
      </c>
      <c r="AM75" s="43">
        <f t="shared" si="115"/>
        <v>118.443797596757</v>
      </c>
      <c r="AN75" s="43">
        <f t="shared" si="116"/>
        <v>123.61612460106903</v>
      </c>
      <c r="AO75" s="43"/>
      <c r="AP75" s="43"/>
      <c r="AQ75" s="43"/>
      <c r="AR75" s="43">
        <f t="shared" si="117"/>
        <v>124.59133432598327</v>
      </c>
      <c r="AS75" s="43">
        <f t="shared" si="118"/>
        <v>101.52835577496593</v>
      </c>
      <c r="AT75" s="43">
        <f t="shared" si="119"/>
        <v>125.91755976782589</v>
      </c>
      <c r="AU75" s="43">
        <f t="shared" si="120"/>
        <v>131.00402615571593</v>
      </c>
      <c r="AV75" s="43">
        <f t="shared" si="121"/>
        <v>129.86261853120308</v>
      </c>
      <c r="AW75" s="43">
        <f t="shared" si="122"/>
        <v>124.1659375609233</v>
      </c>
      <c r="AX75" s="43">
        <f t="shared" si="123"/>
        <v>127.23907013694729</v>
      </c>
      <c r="AY75" s="43">
        <f t="shared" si="124"/>
        <v>129.34879273808056</v>
      </c>
      <c r="AZ75" s="43">
        <f t="shared" si="125"/>
        <v>126.6381633233969</v>
      </c>
      <c r="BA75" s="43">
        <f t="shared" si="126"/>
        <v>124.4132278896963</v>
      </c>
      <c r="BB75" s="43">
        <f t="shared" si="127"/>
        <v>127.37905863939736</v>
      </c>
      <c r="BC75" s="43">
        <f t="shared" si="128"/>
        <v>113.42932026746321</v>
      </c>
      <c r="BD75" s="43">
        <f t="shared" si="129"/>
        <v>110.40969962088691</v>
      </c>
      <c r="BE75" s="43">
        <f t="shared" si="130"/>
        <v>112.640171803054</v>
      </c>
      <c r="BF75" s="43">
        <f t="shared" si="131"/>
        <v>120.48485929451284</v>
      </c>
      <c r="BG75" s="43">
        <f t="shared" si="132"/>
        <v>123.31110165389792</v>
      </c>
      <c r="BH75" s="43">
        <f t="shared" si="133"/>
        <v>119.05446613130863</v>
      </c>
      <c r="BI75" s="43">
        <f t="shared" si="134"/>
        <v>114.57333916461978</v>
      </c>
      <c r="BJ75" s="43">
        <f t="shared" si="135"/>
        <v>114.7375616705306</v>
      </c>
      <c r="BK75" s="43">
        <f t="shared" si="136"/>
        <v>120.88663075268727</v>
      </c>
      <c r="BL75" s="43">
        <f t="shared" si="137"/>
        <v>112.31618282366921</v>
      </c>
      <c r="BM75" s="43">
        <f t="shared" si="138"/>
        <v>111.17727067600909</v>
      </c>
      <c r="BN75" s="43">
        <f t="shared" si="139"/>
        <v>116.09576394596347</v>
      </c>
      <c r="BO75" s="43"/>
      <c r="BP75" s="43">
        <f t="shared" si="140"/>
        <v>121.57745767479626</v>
      </c>
      <c r="BQ75" s="43">
        <f t="shared" si="141"/>
        <v>129.26940204202072</v>
      </c>
      <c r="BR75" s="43">
        <f t="shared" si="142"/>
        <v>124.1659375609233</v>
      </c>
      <c r="BS75" s="43">
        <f t="shared" si="143"/>
        <v>127.23907013694729</v>
      </c>
      <c r="BT75" s="43">
        <f t="shared" si="144"/>
        <v>119.05667834365741</v>
      </c>
      <c r="BU75" s="43">
        <f t="shared" si="145"/>
        <v>104.70997095844142</v>
      </c>
      <c r="BV75" s="43">
        <f t="shared" si="146"/>
        <v>116.81346626958296</v>
      </c>
      <c r="BW75" s="43">
        <f t="shared" si="147"/>
        <v>119.25405124547153</v>
      </c>
      <c r="BX75" s="43">
        <f t="shared" si="148"/>
        <v>116.0388338345569</v>
      </c>
      <c r="BY75" s="43">
        <f t="shared" si="149"/>
        <v>111.56921073324656</v>
      </c>
      <c r="BZ75" s="43"/>
      <c r="CA75" s="43">
        <f t="shared" si="150"/>
        <v>125.43670374954549</v>
      </c>
      <c r="CB75" s="43">
        <f t="shared" si="151"/>
        <v>113.52756462467995</v>
      </c>
      <c r="CC75" s="43">
        <f t="shared" si="152"/>
        <v>114.74589031521484</v>
      </c>
      <c r="CD75" s="43">
        <f t="shared" si="153"/>
        <v>117.37224241426219</v>
      </c>
    </row>
    <row r="76" spans="1:82" ht="12.75">
      <c r="A76" s="150">
        <v>1983</v>
      </c>
      <c r="B76" s="43">
        <f t="shared" si="80"/>
        <v>147.41280199815446</v>
      </c>
      <c r="C76" s="43">
        <f t="shared" si="81"/>
        <v>122.7002007341551</v>
      </c>
      <c r="D76" s="43">
        <f t="shared" si="82"/>
        <v>152.58424136848004</v>
      </c>
      <c r="E76" s="43">
        <f t="shared" si="83"/>
        <v>159.1575832190611</v>
      </c>
      <c r="F76" s="43">
        <f t="shared" si="84"/>
        <v>150.41102530155092</v>
      </c>
      <c r="G76" s="43">
        <f t="shared" si="85"/>
        <v>142.87765923960092</v>
      </c>
      <c r="H76" s="43">
        <f t="shared" si="86"/>
        <v>138.40327175658337</v>
      </c>
      <c r="I76" s="43">
        <f t="shared" si="87"/>
        <v>139.05841981887434</v>
      </c>
      <c r="J76" s="43">
        <f t="shared" si="88"/>
        <v>138.47041813932324</v>
      </c>
      <c r="K76" s="43">
        <f t="shared" si="89"/>
        <v>142.6726350909858</v>
      </c>
      <c r="L76" s="43">
        <f t="shared" si="90"/>
        <v>142.42351510728625</v>
      </c>
      <c r="M76" s="43">
        <f t="shared" si="91"/>
        <v>129.50746726596657</v>
      </c>
      <c r="N76" s="43">
        <f t="shared" si="92"/>
        <v>129.42957706762812</v>
      </c>
      <c r="O76" s="43">
        <f t="shared" si="93"/>
        <v>125.61028740313155</v>
      </c>
      <c r="P76" s="43">
        <f t="shared" si="94"/>
        <v>131.21997806846727</v>
      </c>
      <c r="Q76" s="43">
        <f t="shared" si="95"/>
        <v>135.03623711060416</v>
      </c>
      <c r="R76" s="43">
        <f t="shared" si="96"/>
        <v>129.91364761271294</v>
      </c>
      <c r="S76" s="43">
        <f t="shared" si="97"/>
        <v>125.5915571254009</v>
      </c>
      <c r="T76" s="43">
        <f t="shared" si="98"/>
        <v>127.17553084522956</v>
      </c>
      <c r="U76" s="43">
        <f t="shared" si="99"/>
        <v>132.80322743894837</v>
      </c>
      <c r="V76" s="43">
        <f t="shared" si="100"/>
        <v>127.98747075599731</v>
      </c>
      <c r="W76" s="43">
        <f t="shared" si="101"/>
        <v>119.509073264645</v>
      </c>
      <c r="X76" s="43">
        <f t="shared" si="102"/>
        <v>126.99814725658254</v>
      </c>
      <c r="Z76" s="43">
        <f t="shared" si="103"/>
        <v>145.3564499237298</v>
      </c>
      <c r="AA76" s="43">
        <f t="shared" si="104"/>
        <v>148.84180801731077</v>
      </c>
      <c r="AB76" s="43">
        <f t="shared" si="105"/>
        <v>142.87765923960092</v>
      </c>
      <c r="AC76" s="43">
        <f t="shared" si="106"/>
        <v>138.40327175658337</v>
      </c>
      <c r="AD76" s="43">
        <f t="shared" si="107"/>
        <v>135.83249686588493</v>
      </c>
      <c r="AE76" s="43">
        <f t="shared" si="108"/>
        <v>125.74051421937111</v>
      </c>
      <c r="AF76" s="43">
        <f t="shared" si="109"/>
        <v>127.98050405426066</v>
      </c>
      <c r="AG76" s="43">
        <f t="shared" si="110"/>
        <v>130.01720601697636</v>
      </c>
      <c r="AH76" s="43">
        <f t="shared" si="111"/>
        <v>128.74593304909408</v>
      </c>
      <c r="AI76" s="43">
        <f t="shared" si="112"/>
        <v>119.82828018361955</v>
      </c>
      <c r="AK76" s="43">
        <f t="shared" si="113"/>
        <v>145.37771265968544</v>
      </c>
      <c r="AL76" s="43">
        <f t="shared" si="114"/>
        <v>129.5441395997752</v>
      </c>
      <c r="AM76" s="43">
        <f t="shared" si="115"/>
        <v>125.63738688875794</v>
      </c>
      <c r="AN76" s="43">
        <f t="shared" si="116"/>
        <v>132.9766713193984</v>
      </c>
      <c r="AO76" s="43"/>
      <c r="AP76" s="43"/>
      <c r="AQ76" s="43"/>
      <c r="AR76" s="43">
        <f t="shared" si="117"/>
        <v>142.03020838680172</v>
      </c>
      <c r="AS76" s="43">
        <f t="shared" si="118"/>
        <v>121.01706773993185</v>
      </c>
      <c r="AT76" s="43">
        <f t="shared" si="119"/>
        <v>145.25117546817012</v>
      </c>
      <c r="AU76" s="43">
        <f t="shared" si="120"/>
        <v>150.88453185418877</v>
      </c>
      <c r="AV76" s="43">
        <f t="shared" si="121"/>
        <v>145.2601626949766</v>
      </c>
      <c r="AW76" s="43">
        <f t="shared" si="122"/>
        <v>140.45174188897937</v>
      </c>
      <c r="AX76" s="43">
        <f t="shared" si="123"/>
        <v>137.034595773572</v>
      </c>
      <c r="AY76" s="43">
        <f t="shared" si="124"/>
        <v>137.6183436166511</v>
      </c>
      <c r="AZ76" s="43">
        <f t="shared" si="125"/>
        <v>137.36811058601094</v>
      </c>
      <c r="BA76" s="43">
        <f t="shared" si="126"/>
        <v>141.00909046057666</v>
      </c>
      <c r="BB76" s="43">
        <f t="shared" si="127"/>
        <v>140.54980083885212</v>
      </c>
      <c r="BC76" s="43">
        <f t="shared" si="128"/>
        <v>118.32589003461598</v>
      </c>
      <c r="BD76" s="43">
        <f t="shared" si="129"/>
        <v>114.0918996917227</v>
      </c>
      <c r="BE76" s="43">
        <f t="shared" si="130"/>
        <v>118.95528056104762</v>
      </c>
      <c r="BF76" s="43">
        <f t="shared" si="131"/>
        <v>126.43578034358676</v>
      </c>
      <c r="BG76" s="43">
        <f t="shared" si="132"/>
        <v>131.4199778952378</v>
      </c>
      <c r="BH76" s="43">
        <f t="shared" si="133"/>
        <v>126.50128873043893</v>
      </c>
      <c r="BI76" s="43">
        <f t="shared" si="134"/>
        <v>121.75070061758043</v>
      </c>
      <c r="BJ76" s="43">
        <f t="shared" si="135"/>
        <v>123.16654353729788</v>
      </c>
      <c r="BK76" s="43">
        <f t="shared" si="136"/>
        <v>130.81064688908313</v>
      </c>
      <c r="BL76" s="43">
        <f t="shared" si="137"/>
        <v>120.7236925004062</v>
      </c>
      <c r="BM76" s="43">
        <f t="shared" si="138"/>
        <v>115.20971000429542</v>
      </c>
      <c r="BN76" s="43">
        <f t="shared" si="139"/>
        <v>123.45425455266033</v>
      </c>
      <c r="BO76" s="43"/>
      <c r="BP76" s="43">
        <f t="shared" si="140"/>
        <v>140.43216470888422</v>
      </c>
      <c r="BQ76" s="43">
        <f t="shared" si="141"/>
        <v>144.7065627250623</v>
      </c>
      <c r="BR76" s="43">
        <f t="shared" si="142"/>
        <v>140.45174188897937</v>
      </c>
      <c r="BS76" s="43">
        <f t="shared" si="143"/>
        <v>137.034595773572</v>
      </c>
      <c r="BT76" s="43">
        <f t="shared" si="144"/>
        <v>121.48491943628716</v>
      </c>
      <c r="BU76" s="43">
        <f t="shared" si="145"/>
        <v>109.04841928016523</v>
      </c>
      <c r="BV76" s="43">
        <f t="shared" si="146"/>
        <v>122.97805197576166</v>
      </c>
      <c r="BW76" s="43">
        <f t="shared" si="147"/>
        <v>126.7934187362705</v>
      </c>
      <c r="BX76" s="43">
        <f t="shared" si="148"/>
        <v>124.70592080791613</v>
      </c>
      <c r="BY76" s="43">
        <f t="shared" si="149"/>
        <v>115.81628465292698</v>
      </c>
      <c r="BZ76" s="43"/>
      <c r="CA76" s="43">
        <f t="shared" si="150"/>
        <v>142.00614023245606</v>
      </c>
      <c r="CB76" s="43">
        <f t="shared" si="151"/>
        <v>118.46144347106791</v>
      </c>
      <c r="CC76" s="43">
        <f t="shared" si="152"/>
        <v>121.93566327222307</v>
      </c>
      <c r="CD76" s="43">
        <f t="shared" si="153"/>
        <v>126.30890557798045</v>
      </c>
    </row>
    <row r="77" spans="1:82" ht="12.75">
      <c r="A77" s="150">
        <v>1984</v>
      </c>
      <c r="B77" s="43">
        <f t="shared" si="80"/>
        <v>168.5467268043011</v>
      </c>
      <c r="C77" s="43">
        <f t="shared" si="81"/>
        <v>140.65541190838695</v>
      </c>
      <c r="D77" s="43">
        <f t="shared" si="82"/>
        <v>172.96070716300616</v>
      </c>
      <c r="E77" s="43">
        <f t="shared" si="83"/>
        <v>182.724715028157</v>
      </c>
      <c r="F77" s="43">
        <f t="shared" si="84"/>
        <v>171.8717155148838</v>
      </c>
      <c r="G77" s="43">
        <f t="shared" si="85"/>
        <v>162.62608070980522</v>
      </c>
      <c r="H77" s="43">
        <f t="shared" si="86"/>
        <v>156.02461023270547</v>
      </c>
      <c r="I77" s="43">
        <f t="shared" si="87"/>
        <v>159.15377987858383</v>
      </c>
      <c r="J77" s="43">
        <f t="shared" si="88"/>
        <v>154.64372143687078</v>
      </c>
      <c r="K77" s="43">
        <f t="shared" si="89"/>
        <v>158.18677182719853</v>
      </c>
      <c r="L77" s="43">
        <f t="shared" si="90"/>
        <v>159.29373713761092</v>
      </c>
      <c r="M77" s="43">
        <f t="shared" si="91"/>
        <v>138.46772630519044</v>
      </c>
      <c r="N77" s="43">
        <f t="shared" si="92"/>
        <v>139.56217859569068</v>
      </c>
      <c r="O77" s="43">
        <f t="shared" si="93"/>
        <v>126.84690812158665</v>
      </c>
      <c r="P77" s="43">
        <f t="shared" si="94"/>
        <v>141.07551696125566</v>
      </c>
      <c r="Q77" s="43">
        <f t="shared" si="95"/>
        <v>145.60587448346763</v>
      </c>
      <c r="R77" s="43">
        <f t="shared" si="96"/>
        <v>138.04999645768478</v>
      </c>
      <c r="S77" s="43">
        <f t="shared" si="97"/>
        <v>133.0061058834132</v>
      </c>
      <c r="T77" s="43">
        <f t="shared" si="98"/>
        <v>135.60088432861986</v>
      </c>
      <c r="U77" s="43">
        <f t="shared" si="99"/>
        <v>144.00577728794713</v>
      </c>
      <c r="V77" s="43">
        <f t="shared" si="100"/>
        <v>136.57775941569247</v>
      </c>
      <c r="W77" s="43">
        <f t="shared" si="101"/>
        <v>123.62300579907783</v>
      </c>
      <c r="X77" s="43">
        <f t="shared" si="102"/>
        <v>137.64508773109702</v>
      </c>
      <c r="Z77" s="43">
        <f t="shared" si="103"/>
        <v>165.36993994534848</v>
      </c>
      <c r="AA77" s="43">
        <f t="shared" si="104"/>
        <v>169.47486969608323</v>
      </c>
      <c r="AB77" s="43">
        <f t="shared" si="105"/>
        <v>162.62608070980522</v>
      </c>
      <c r="AC77" s="43">
        <f t="shared" si="106"/>
        <v>156.02461023270547</v>
      </c>
      <c r="AD77" s="43">
        <f t="shared" si="107"/>
        <v>148.74550826318807</v>
      </c>
      <c r="AE77" s="43">
        <f t="shared" si="108"/>
        <v>134.41515111054278</v>
      </c>
      <c r="AF77" s="43">
        <f t="shared" si="109"/>
        <v>133.77323441706704</v>
      </c>
      <c r="AG77" s="43">
        <f t="shared" si="110"/>
        <v>138.21261956900625</v>
      </c>
      <c r="AH77" s="43">
        <f t="shared" si="111"/>
        <v>138.07235281213696</v>
      </c>
      <c r="AI77" s="43">
        <f t="shared" si="112"/>
        <v>124.0459360753825</v>
      </c>
      <c r="AK77" s="43">
        <f t="shared" si="113"/>
        <v>165.42665124818382</v>
      </c>
      <c r="AL77" s="43">
        <f t="shared" si="114"/>
        <v>138.52452798925043</v>
      </c>
      <c r="AM77" s="43">
        <f t="shared" si="115"/>
        <v>133.17374554128008</v>
      </c>
      <c r="AN77" s="43">
        <f t="shared" si="116"/>
        <v>144.71671621183847</v>
      </c>
      <c r="AO77" s="43"/>
      <c r="AP77" s="43"/>
      <c r="AQ77" s="43"/>
      <c r="AR77" s="43">
        <f t="shared" si="117"/>
        <v>164.0003304407794</v>
      </c>
      <c r="AS77" s="43">
        <f t="shared" si="118"/>
        <v>144.86211222969246</v>
      </c>
      <c r="AT77" s="43">
        <f t="shared" si="119"/>
        <v>164.33937313849046</v>
      </c>
      <c r="AU77" s="43">
        <f t="shared" si="120"/>
        <v>173.48684218727942</v>
      </c>
      <c r="AV77" s="43">
        <f t="shared" si="121"/>
        <v>167.56390831308227</v>
      </c>
      <c r="AW77" s="43">
        <f t="shared" si="122"/>
        <v>161.22323857895933</v>
      </c>
      <c r="AX77" s="43">
        <f t="shared" si="123"/>
        <v>155.59580852324063</v>
      </c>
      <c r="AY77" s="43">
        <f t="shared" si="124"/>
        <v>159.36994938828835</v>
      </c>
      <c r="AZ77" s="43">
        <f t="shared" si="125"/>
        <v>153.97354554068673</v>
      </c>
      <c r="BA77" s="43">
        <f t="shared" si="126"/>
        <v>155.50141762229737</v>
      </c>
      <c r="BB77" s="43">
        <f t="shared" si="127"/>
        <v>157.67952184704365</v>
      </c>
      <c r="BC77" s="43">
        <f t="shared" si="128"/>
        <v>128.1458094598738</v>
      </c>
      <c r="BD77" s="43">
        <f t="shared" si="129"/>
        <v>126.82280925732715</v>
      </c>
      <c r="BE77" s="43">
        <f t="shared" si="130"/>
        <v>117.23800234923922</v>
      </c>
      <c r="BF77" s="43">
        <f t="shared" si="131"/>
        <v>136.85775973731282</v>
      </c>
      <c r="BG77" s="43">
        <f t="shared" si="132"/>
        <v>142.01373622354635</v>
      </c>
      <c r="BH77" s="43">
        <f t="shared" si="133"/>
        <v>134.06263683295592</v>
      </c>
      <c r="BI77" s="43">
        <f t="shared" si="134"/>
        <v>128.8205655879365</v>
      </c>
      <c r="BJ77" s="43">
        <f t="shared" si="135"/>
        <v>131.190321241037</v>
      </c>
      <c r="BK77" s="43">
        <f t="shared" si="136"/>
        <v>141.91057360513193</v>
      </c>
      <c r="BL77" s="43">
        <f t="shared" si="137"/>
        <v>129.07513237468723</v>
      </c>
      <c r="BM77" s="43">
        <f t="shared" si="138"/>
        <v>118.59853450519</v>
      </c>
      <c r="BN77" s="43">
        <f t="shared" si="139"/>
        <v>134.8097068596614</v>
      </c>
      <c r="BO77" s="43"/>
      <c r="BP77" s="43">
        <f t="shared" si="140"/>
        <v>160.6675714146615</v>
      </c>
      <c r="BQ77" s="43">
        <f t="shared" si="141"/>
        <v>165.97141906397778</v>
      </c>
      <c r="BR77" s="43">
        <f t="shared" si="142"/>
        <v>161.22323857895933</v>
      </c>
      <c r="BS77" s="43">
        <f t="shared" si="143"/>
        <v>155.59580852324063</v>
      </c>
      <c r="BT77" s="43">
        <f t="shared" si="144"/>
        <v>137.63394363120193</v>
      </c>
      <c r="BU77" s="43">
        <f t="shared" si="145"/>
        <v>120.09769461107484</v>
      </c>
      <c r="BV77" s="43">
        <f t="shared" si="146"/>
        <v>127.94515078849165</v>
      </c>
      <c r="BW77" s="43">
        <f t="shared" si="147"/>
        <v>134.4457852425393</v>
      </c>
      <c r="BX77" s="43">
        <f t="shared" si="148"/>
        <v>133.89151684495678</v>
      </c>
      <c r="BY77" s="43">
        <f t="shared" si="149"/>
        <v>119.33129606242935</v>
      </c>
      <c r="BZ77" s="43"/>
      <c r="CA77" s="43">
        <f t="shared" si="150"/>
        <v>162.6680280522829</v>
      </c>
      <c r="CB77" s="43">
        <f t="shared" si="151"/>
        <v>128.29397211765658</v>
      </c>
      <c r="CC77" s="43">
        <f t="shared" si="152"/>
        <v>129.2024963639238</v>
      </c>
      <c r="CD77" s="43">
        <f t="shared" si="153"/>
        <v>138.61539183818857</v>
      </c>
    </row>
    <row r="78" spans="1:82" ht="12.75">
      <c r="A78" s="150">
        <v>1985</v>
      </c>
      <c r="B78" s="43">
        <f t="shared" si="80"/>
        <v>191.38861744230968</v>
      </c>
      <c r="C78" s="43">
        <f t="shared" si="81"/>
        <v>164.32387783982338</v>
      </c>
      <c r="D78" s="43">
        <f t="shared" si="82"/>
        <v>194.57683475818789</v>
      </c>
      <c r="E78" s="43">
        <f t="shared" si="83"/>
        <v>208.45940807812158</v>
      </c>
      <c r="F78" s="43">
        <f t="shared" si="84"/>
        <v>193.27407526371778</v>
      </c>
      <c r="G78" s="43">
        <f t="shared" si="85"/>
        <v>182.31224424406435</v>
      </c>
      <c r="H78" s="43">
        <f t="shared" si="86"/>
        <v>175.36131746990253</v>
      </c>
      <c r="I78" s="43">
        <f t="shared" si="87"/>
        <v>182.7077753624708</v>
      </c>
      <c r="J78" s="43">
        <f t="shared" si="88"/>
        <v>170.47498580966683</v>
      </c>
      <c r="K78" s="43">
        <f t="shared" si="89"/>
        <v>172.60514806834965</v>
      </c>
      <c r="L78" s="43">
        <f t="shared" si="90"/>
        <v>174.47479666242066</v>
      </c>
      <c r="M78" s="43">
        <f t="shared" si="91"/>
        <v>149.15508082460394</v>
      </c>
      <c r="N78" s="43">
        <f t="shared" si="92"/>
        <v>154.02464430189775</v>
      </c>
      <c r="O78" s="43">
        <f t="shared" si="93"/>
        <v>125.20231258840866</v>
      </c>
      <c r="P78" s="43">
        <f t="shared" si="94"/>
        <v>147.8870097164892</v>
      </c>
      <c r="Q78" s="43">
        <f t="shared" si="95"/>
        <v>153.62814662283387</v>
      </c>
      <c r="R78" s="43">
        <f t="shared" si="96"/>
        <v>144.69512967217295</v>
      </c>
      <c r="S78" s="43">
        <f t="shared" si="97"/>
        <v>137.80846424427148</v>
      </c>
      <c r="T78" s="43">
        <f t="shared" si="98"/>
        <v>141.37383433723062</v>
      </c>
      <c r="U78" s="43">
        <f t="shared" si="99"/>
        <v>150.51247672661484</v>
      </c>
      <c r="V78" s="43">
        <f t="shared" si="100"/>
        <v>139.2976781789041</v>
      </c>
      <c r="W78" s="43">
        <f t="shared" si="101"/>
        <v>128.0607132005479</v>
      </c>
      <c r="X78" s="43">
        <f t="shared" si="102"/>
        <v>139.9326252086089</v>
      </c>
      <c r="Z78" s="43">
        <f t="shared" si="103"/>
        <v>187.8471875526602</v>
      </c>
      <c r="AA78" s="43">
        <f t="shared" si="104"/>
        <v>190.08118352253425</v>
      </c>
      <c r="AB78" s="43">
        <f t="shared" si="105"/>
        <v>182.31224424406435</v>
      </c>
      <c r="AC78" s="43">
        <f t="shared" si="106"/>
        <v>175.36131746990253</v>
      </c>
      <c r="AD78" s="43">
        <f t="shared" si="107"/>
        <v>165.66075821557286</v>
      </c>
      <c r="AE78" s="43">
        <f t="shared" si="108"/>
        <v>148.1571647334198</v>
      </c>
      <c r="AF78" s="43">
        <f t="shared" si="109"/>
        <v>137.06706588150126</v>
      </c>
      <c r="AG78" s="43">
        <f t="shared" si="110"/>
        <v>144.8804247961358</v>
      </c>
      <c r="AH78" s="43">
        <f t="shared" si="111"/>
        <v>142.79075455372723</v>
      </c>
      <c r="AI78" s="43">
        <f t="shared" si="112"/>
        <v>128.76115779288634</v>
      </c>
      <c r="AK78" s="43">
        <f t="shared" si="113"/>
        <v>186.38556279738884</v>
      </c>
      <c r="AL78" s="43">
        <f t="shared" si="114"/>
        <v>149.21488138776485</v>
      </c>
      <c r="AM78" s="43">
        <f t="shared" si="115"/>
        <v>137.88125100292058</v>
      </c>
      <c r="AN78" s="43">
        <f t="shared" si="116"/>
        <v>156.7288982976589</v>
      </c>
      <c r="AO78" s="43"/>
      <c r="AP78" s="43"/>
      <c r="AQ78" s="43"/>
      <c r="AR78" s="43">
        <f t="shared" si="117"/>
        <v>185.40634814135277</v>
      </c>
      <c r="AS78" s="43">
        <f t="shared" si="118"/>
        <v>172.69992835044113</v>
      </c>
      <c r="AT78" s="43">
        <f t="shared" si="119"/>
        <v>183.82213298131362</v>
      </c>
      <c r="AU78" s="43">
        <f t="shared" si="120"/>
        <v>196.92299154606272</v>
      </c>
      <c r="AV78" s="43">
        <f t="shared" si="121"/>
        <v>187.09267379883443</v>
      </c>
      <c r="AW78" s="43">
        <f t="shared" si="122"/>
        <v>179.141215410717</v>
      </c>
      <c r="AX78" s="43">
        <f t="shared" si="123"/>
        <v>174.7817142073114</v>
      </c>
      <c r="AY78" s="43">
        <f t="shared" si="124"/>
        <v>183.06700285146394</v>
      </c>
      <c r="AZ78" s="43">
        <f t="shared" si="125"/>
        <v>169.42755010156847</v>
      </c>
      <c r="BA78" s="43">
        <f t="shared" si="126"/>
        <v>168.58504724421132</v>
      </c>
      <c r="BB78" s="43">
        <f t="shared" si="127"/>
        <v>171.83410232970346</v>
      </c>
      <c r="BC78" s="43">
        <f t="shared" si="128"/>
        <v>139.03757078630923</v>
      </c>
      <c r="BD78" s="43">
        <f t="shared" si="129"/>
        <v>143.84473372417088</v>
      </c>
      <c r="BE78" s="43">
        <f t="shared" si="130"/>
        <v>114.15282523380786</v>
      </c>
      <c r="BF78" s="43">
        <f t="shared" si="131"/>
        <v>141.93873621344872</v>
      </c>
      <c r="BG78" s="43">
        <f t="shared" si="132"/>
        <v>148.7422585245565</v>
      </c>
      <c r="BH78" s="43">
        <f t="shared" si="133"/>
        <v>139.55246458996652</v>
      </c>
      <c r="BI78" s="43">
        <f t="shared" si="134"/>
        <v>131.85077262864786</v>
      </c>
      <c r="BJ78" s="43">
        <f t="shared" si="135"/>
        <v>134.9408499215706</v>
      </c>
      <c r="BK78" s="43">
        <f t="shared" si="136"/>
        <v>146.39981022663486</v>
      </c>
      <c r="BL78" s="43">
        <f t="shared" si="137"/>
        <v>127.26002732721311</v>
      </c>
      <c r="BM78" s="43">
        <f t="shared" si="138"/>
        <v>122.98089865797019</v>
      </c>
      <c r="BN78" s="43">
        <f t="shared" si="139"/>
        <v>134.09203493385965</v>
      </c>
      <c r="BO78" s="43"/>
      <c r="BP78" s="43">
        <f t="shared" si="140"/>
        <v>182.29015774990634</v>
      </c>
      <c r="BQ78" s="43">
        <f t="shared" si="141"/>
        <v>185.01041932594734</v>
      </c>
      <c r="BR78" s="43">
        <f t="shared" si="142"/>
        <v>179.141215410717</v>
      </c>
      <c r="BS78" s="43">
        <f t="shared" si="143"/>
        <v>174.7817142073114</v>
      </c>
      <c r="BT78" s="43">
        <f t="shared" si="144"/>
        <v>156.32071561341783</v>
      </c>
      <c r="BU78" s="43">
        <f t="shared" si="145"/>
        <v>137.15228350240764</v>
      </c>
      <c r="BV78" s="43">
        <f t="shared" si="146"/>
        <v>129.83627029005348</v>
      </c>
      <c r="BW78" s="43">
        <f t="shared" si="147"/>
        <v>139.9982452825721</v>
      </c>
      <c r="BX78" s="43">
        <f t="shared" si="148"/>
        <v>135.796640422943</v>
      </c>
      <c r="BY78" s="43">
        <f t="shared" si="149"/>
        <v>124.09028934238647</v>
      </c>
      <c r="BZ78" s="43"/>
      <c r="CA78" s="43">
        <f t="shared" si="150"/>
        <v>182.36809441891768</v>
      </c>
      <c r="CB78" s="43">
        <f t="shared" si="151"/>
        <v>139.1706863437577</v>
      </c>
      <c r="CC78" s="43">
        <f t="shared" si="152"/>
        <v>132.11534367609465</v>
      </c>
      <c r="CD78" s="43">
        <f t="shared" si="153"/>
        <v>149.58822277661034</v>
      </c>
    </row>
    <row r="79" spans="1:82" ht="12.75">
      <c r="A79" s="150">
        <v>1986</v>
      </c>
      <c r="B79" s="43">
        <f t="shared" si="80"/>
        <v>215.26128525035872</v>
      </c>
      <c r="C79" s="43">
        <f t="shared" si="81"/>
        <v>192.44878044866172</v>
      </c>
      <c r="D79" s="43">
        <f t="shared" si="82"/>
        <v>222.4790166587277</v>
      </c>
      <c r="E79" s="43">
        <f t="shared" si="83"/>
        <v>232.72352033801315</v>
      </c>
      <c r="F79" s="43">
        <f t="shared" si="84"/>
        <v>214.391877186295</v>
      </c>
      <c r="G79" s="43">
        <f t="shared" si="85"/>
        <v>201.08575643897476</v>
      </c>
      <c r="H79" s="43">
        <f t="shared" si="86"/>
        <v>202.06539150261452</v>
      </c>
      <c r="I79" s="43">
        <f t="shared" si="87"/>
        <v>218.13141464063216</v>
      </c>
      <c r="J79" s="43">
        <f t="shared" si="88"/>
        <v>191.4821580285304</v>
      </c>
      <c r="K79" s="43">
        <f t="shared" si="89"/>
        <v>191.71101903421294</v>
      </c>
      <c r="L79" s="43">
        <f t="shared" si="90"/>
        <v>194.54142218624034</v>
      </c>
      <c r="M79" s="43">
        <f t="shared" si="91"/>
        <v>167.26572938645666</v>
      </c>
      <c r="N79" s="43">
        <f t="shared" si="92"/>
        <v>182.11875482502833</v>
      </c>
      <c r="O79" s="43">
        <f t="shared" si="93"/>
        <v>123.63205022438736</v>
      </c>
      <c r="P79" s="43">
        <f t="shared" si="94"/>
        <v>149.6305827723456</v>
      </c>
      <c r="Q79" s="43">
        <f t="shared" si="95"/>
        <v>156.23919524002088</v>
      </c>
      <c r="R79" s="43">
        <f t="shared" si="96"/>
        <v>149.94734583657834</v>
      </c>
      <c r="S79" s="43">
        <f t="shared" si="97"/>
        <v>150.41973023265749</v>
      </c>
      <c r="T79" s="43">
        <f t="shared" si="98"/>
        <v>155.629222510475</v>
      </c>
      <c r="U79" s="43">
        <f t="shared" si="99"/>
        <v>164.06385251744794</v>
      </c>
      <c r="V79" s="43">
        <f t="shared" si="100"/>
        <v>152.59353012293795</v>
      </c>
      <c r="W79" s="43">
        <f t="shared" si="101"/>
        <v>138.39198562585943</v>
      </c>
      <c r="X79" s="43">
        <f t="shared" si="102"/>
        <v>155.17202973674</v>
      </c>
      <c r="Z79" s="43">
        <f t="shared" si="103"/>
        <v>213.04164682631682</v>
      </c>
      <c r="AA79" s="43">
        <f t="shared" si="104"/>
        <v>210.78984417505367</v>
      </c>
      <c r="AB79" s="43">
        <f t="shared" si="105"/>
        <v>201.08575643897476</v>
      </c>
      <c r="AC79" s="43">
        <f t="shared" si="106"/>
        <v>202.06539150261452</v>
      </c>
      <c r="AD79" s="43">
        <f t="shared" si="107"/>
        <v>201.60940780556533</v>
      </c>
      <c r="AE79" s="43">
        <f t="shared" si="108"/>
        <v>171.2443771880968</v>
      </c>
      <c r="AF79" s="43">
        <f t="shared" si="109"/>
        <v>138.825334789216</v>
      </c>
      <c r="AG79" s="43">
        <f t="shared" si="110"/>
        <v>150.15187007625823</v>
      </c>
      <c r="AH79" s="43">
        <f t="shared" si="111"/>
        <v>156.6707584082732</v>
      </c>
      <c r="AI79" s="43">
        <f t="shared" si="112"/>
        <v>139.21634491170047</v>
      </c>
      <c r="AK79" s="43">
        <f t="shared" si="113"/>
        <v>208.2092619597723</v>
      </c>
      <c r="AL79" s="43">
        <f t="shared" si="114"/>
        <v>167.3253302856081</v>
      </c>
      <c r="AM79" s="43">
        <f t="shared" si="115"/>
        <v>150.62191981559363</v>
      </c>
      <c r="AN79" s="43">
        <f t="shared" si="116"/>
        <v>174.39149283709324</v>
      </c>
      <c r="AO79" s="43"/>
      <c r="AP79" s="43"/>
      <c r="AQ79" s="43"/>
      <c r="AR79" s="43">
        <f t="shared" si="117"/>
        <v>207.25804302447088</v>
      </c>
      <c r="AS79" s="43">
        <f t="shared" si="118"/>
        <v>202.80065240288693</v>
      </c>
      <c r="AT79" s="43">
        <f t="shared" si="119"/>
        <v>212.72235269344674</v>
      </c>
      <c r="AU79" s="43">
        <f t="shared" si="120"/>
        <v>216.01965932328187</v>
      </c>
      <c r="AV79" s="43">
        <f t="shared" si="121"/>
        <v>206.2800122544379</v>
      </c>
      <c r="AW79" s="43">
        <f t="shared" si="122"/>
        <v>195.7180620222808</v>
      </c>
      <c r="AX79" s="43">
        <f t="shared" si="123"/>
        <v>202.31615039772308</v>
      </c>
      <c r="AY79" s="43">
        <f t="shared" si="124"/>
        <v>220.24011374129984</v>
      </c>
      <c r="AZ79" s="43">
        <f t="shared" si="125"/>
        <v>190.79659292264986</v>
      </c>
      <c r="BA79" s="43">
        <f t="shared" si="126"/>
        <v>188.55872973345353</v>
      </c>
      <c r="BB79" s="43">
        <f t="shared" si="127"/>
        <v>192.40669511844567</v>
      </c>
      <c r="BC79" s="43">
        <f t="shared" si="128"/>
        <v>161.92922261245738</v>
      </c>
      <c r="BD79" s="43">
        <f t="shared" si="129"/>
        <v>183.76056563259226</v>
      </c>
      <c r="BE79" s="43">
        <f t="shared" si="130"/>
        <v>112.74943128076218</v>
      </c>
      <c r="BF79" s="43">
        <f t="shared" si="131"/>
        <v>141.45786019690806</v>
      </c>
      <c r="BG79" s="43">
        <f t="shared" si="132"/>
        <v>149.38348918077952</v>
      </c>
      <c r="BH79" s="43">
        <f t="shared" si="133"/>
        <v>143.79896414294188</v>
      </c>
      <c r="BI79" s="43">
        <f t="shared" si="134"/>
        <v>147.92580125206473</v>
      </c>
      <c r="BJ79" s="43">
        <f t="shared" si="135"/>
        <v>153.1911839477507</v>
      </c>
      <c r="BK79" s="43">
        <f t="shared" si="136"/>
        <v>161.85217893816818</v>
      </c>
      <c r="BL79" s="43">
        <f t="shared" si="137"/>
        <v>146.32601719883007</v>
      </c>
      <c r="BM79" s="43">
        <f t="shared" si="138"/>
        <v>136.8419560520952</v>
      </c>
      <c r="BN79" s="43">
        <f t="shared" si="139"/>
        <v>152.73512350402223</v>
      </c>
      <c r="BO79" s="43"/>
      <c r="BP79" s="43">
        <f t="shared" si="140"/>
        <v>206.4900297081756</v>
      </c>
      <c r="BQ79" s="43">
        <f t="shared" si="141"/>
        <v>204.22240698572529</v>
      </c>
      <c r="BR79" s="43">
        <f t="shared" si="142"/>
        <v>195.7180620222808</v>
      </c>
      <c r="BS79" s="43">
        <f t="shared" si="143"/>
        <v>202.31615039772308</v>
      </c>
      <c r="BT79" s="43">
        <f t="shared" si="144"/>
        <v>209.32912251952143</v>
      </c>
      <c r="BU79" s="43">
        <f t="shared" si="145"/>
        <v>167.31727781932426</v>
      </c>
      <c r="BV79" s="43">
        <f t="shared" si="146"/>
        <v>130.77157789627867</v>
      </c>
      <c r="BW79" s="43">
        <f t="shared" si="147"/>
        <v>144.31259207045437</v>
      </c>
      <c r="BX79" s="43">
        <f t="shared" si="148"/>
        <v>153.45793405697438</v>
      </c>
      <c r="BY79" s="43">
        <f t="shared" si="149"/>
        <v>137.72431109256337</v>
      </c>
      <c r="BZ79" s="43"/>
      <c r="CA79" s="43">
        <f t="shared" si="150"/>
        <v>202.847948512141</v>
      </c>
      <c r="CB79" s="43">
        <f t="shared" si="151"/>
        <v>162.0224957062216</v>
      </c>
      <c r="CC79" s="43">
        <f t="shared" si="152"/>
        <v>148.24068631175388</v>
      </c>
      <c r="CD79" s="43">
        <f t="shared" si="153"/>
        <v>169.6789337575207</v>
      </c>
    </row>
    <row r="80" spans="1:82" ht="12.75">
      <c r="A80" s="150">
        <v>1987</v>
      </c>
      <c r="B80" s="43">
        <f t="shared" si="80"/>
        <v>262.6374742111259</v>
      </c>
      <c r="C80" s="43">
        <f t="shared" si="81"/>
        <v>255.8044393177267</v>
      </c>
      <c r="D80" s="43">
        <f t="shared" si="82"/>
        <v>274.425108308734</v>
      </c>
      <c r="E80" s="43">
        <f t="shared" si="83"/>
        <v>278.49476778577235</v>
      </c>
      <c r="F80" s="43">
        <f t="shared" si="84"/>
        <v>254.1611844989738</v>
      </c>
      <c r="G80" s="43">
        <f t="shared" si="85"/>
        <v>241.4149929274088</v>
      </c>
      <c r="H80" s="43">
        <f t="shared" si="86"/>
        <v>239.79742577560242</v>
      </c>
      <c r="I80" s="43">
        <f t="shared" si="87"/>
        <v>259.7594611186601</v>
      </c>
      <c r="J80" s="43">
        <f t="shared" si="88"/>
        <v>226.63958432124315</v>
      </c>
      <c r="K80" s="43">
        <f t="shared" si="89"/>
        <v>224.83003695636648</v>
      </c>
      <c r="L80" s="43">
        <f t="shared" si="90"/>
        <v>223.69176179047545</v>
      </c>
      <c r="M80" s="43">
        <f t="shared" si="91"/>
        <v>218.76442211147057</v>
      </c>
      <c r="N80" s="43">
        <f t="shared" si="92"/>
        <v>253.7819384924125</v>
      </c>
      <c r="O80" s="43">
        <f t="shared" si="93"/>
        <v>140.0260309802918</v>
      </c>
      <c r="P80" s="43">
        <f t="shared" si="94"/>
        <v>169.40263331235886</v>
      </c>
      <c r="Q80" s="43">
        <f t="shared" si="95"/>
        <v>177.73559927591202</v>
      </c>
      <c r="R80" s="43">
        <f t="shared" si="96"/>
        <v>173.56936094188202</v>
      </c>
      <c r="S80" s="43">
        <f t="shared" si="97"/>
        <v>188.32446435514856</v>
      </c>
      <c r="T80" s="43">
        <f t="shared" si="98"/>
        <v>195.61187937687436</v>
      </c>
      <c r="U80" s="43">
        <f t="shared" si="99"/>
        <v>204.5488229881372</v>
      </c>
      <c r="V80" s="43">
        <f t="shared" si="100"/>
        <v>197.17318061164582</v>
      </c>
      <c r="W80" s="43">
        <f t="shared" si="101"/>
        <v>168.9363562205558</v>
      </c>
      <c r="X80" s="43">
        <f t="shared" si="102"/>
        <v>191.23819909236127</v>
      </c>
      <c r="Z80" s="43">
        <f t="shared" si="103"/>
        <v>263.6760432816208</v>
      </c>
      <c r="AA80" s="43">
        <f t="shared" si="104"/>
        <v>249.26902433358367</v>
      </c>
      <c r="AB80" s="43">
        <f t="shared" si="105"/>
        <v>241.4149929274088</v>
      </c>
      <c r="AC80" s="43">
        <f t="shared" si="106"/>
        <v>239.79742577560242</v>
      </c>
      <c r="AD80" s="43">
        <f t="shared" si="107"/>
        <v>284.257148280438</v>
      </c>
      <c r="AE80" s="43">
        <f t="shared" si="108"/>
        <v>237.26555763156583</v>
      </c>
      <c r="AF80" s="43">
        <f t="shared" si="109"/>
        <v>159.634572229979</v>
      </c>
      <c r="AG80" s="43">
        <f t="shared" si="110"/>
        <v>173.85799747576795</v>
      </c>
      <c r="AH80" s="43">
        <f t="shared" si="111"/>
        <v>197.9470327465309</v>
      </c>
      <c r="AI80" s="43">
        <f t="shared" si="112"/>
        <v>169.6260115259498</v>
      </c>
      <c r="AK80" s="43">
        <f t="shared" si="113"/>
        <v>251.60003051033647</v>
      </c>
      <c r="AL80" s="43">
        <f t="shared" si="114"/>
        <v>218.7690513035265</v>
      </c>
      <c r="AM80" s="43">
        <f t="shared" si="115"/>
        <v>188.42443688761603</v>
      </c>
      <c r="AN80" s="43">
        <f t="shared" si="116"/>
        <v>219.68405025630955</v>
      </c>
      <c r="AO80" s="43"/>
      <c r="AP80" s="43"/>
      <c r="AQ80" s="43"/>
      <c r="AR80" s="43">
        <f t="shared" si="117"/>
        <v>265.4676162383419</v>
      </c>
      <c r="AS80" s="43">
        <f t="shared" si="118"/>
        <v>304.4755907847753</v>
      </c>
      <c r="AT80" s="43">
        <f t="shared" si="119"/>
        <v>276.7657683967396</v>
      </c>
      <c r="AU80" s="43">
        <f t="shared" si="120"/>
        <v>272.28617537208254</v>
      </c>
      <c r="AV80" s="43">
        <f t="shared" si="121"/>
        <v>251.4567673565601</v>
      </c>
      <c r="AW80" s="43">
        <f t="shared" si="122"/>
        <v>246.0001160640696</v>
      </c>
      <c r="AX80" s="43">
        <f t="shared" si="123"/>
        <v>241.38735786826075</v>
      </c>
      <c r="AY80" s="43">
        <f t="shared" si="124"/>
        <v>262.1366023941681</v>
      </c>
      <c r="AZ80" s="43">
        <f t="shared" si="125"/>
        <v>227.42881324644853</v>
      </c>
      <c r="BA80" s="43">
        <f t="shared" si="126"/>
        <v>225.7961604796422</v>
      </c>
      <c r="BB80" s="43">
        <f t="shared" si="127"/>
        <v>222.8393084804125</v>
      </c>
      <c r="BC80" s="43">
        <f t="shared" si="128"/>
        <v>241.28500931842655</v>
      </c>
      <c r="BD80" s="43">
        <f t="shared" si="129"/>
        <v>302.8976406892224</v>
      </c>
      <c r="BE80" s="43">
        <f t="shared" si="130"/>
        <v>137.27845379743576</v>
      </c>
      <c r="BF80" s="43">
        <f t="shared" si="131"/>
        <v>167.23063024826052</v>
      </c>
      <c r="BG80" s="43">
        <f t="shared" si="132"/>
        <v>175.93425621371034</v>
      </c>
      <c r="BH80" s="43">
        <f t="shared" si="133"/>
        <v>175.0963397035018</v>
      </c>
      <c r="BI80" s="43">
        <f t="shared" si="134"/>
        <v>198.22933515493827</v>
      </c>
      <c r="BJ80" s="43">
        <f t="shared" si="135"/>
        <v>206.66952290247085</v>
      </c>
      <c r="BK80" s="43">
        <f t="shared" si="136"/>
        <v>210.56586632022106</v>
      </c>
      <c r="BL80" s="43">
        <f t="shared" si="137"/>
        <v>209.79197314979456</v>
      </c>
      <c r="BM80" s="43">
        <f t="shared" si="138"/>
        <v>180.7532331538914</v>
      </c>
      <c r="BN80" s="43">
        <f t="shared" si="139"/>
        <v>194.39370978389587</v>
      </c>
      <c r="BO80" s="43"/>
      <c r="BP80" s="43">
        <f t="shared" si="140"/>
        <v>271.82089942093336</v>
      </c>
      <c r="BQ80" s="43">
        <f t="shared" si="141"/>
        <v>247.57046208796504</v>
      </c>
      <c r="BR80" s="43">
        <f t="shared" si="142"/>
        <v>246.0001160640696</v>
      </c>
      <c r="BS80" s="43">
        <f t="shared" si="143"/>
        <v>241.38735786826075</v>
      </c>
      <c r="BT80" s="43">
        <f t="shared" si="144"/>
        <v>342.8871289744123</v>
      </c>
      <c r="BU80" s="43">
        <f t="shared" si="145"/>
        <v>277.79949734355625</v>
      </c>
      <c r="BV80" s="43">
        <f t="shared" si="146"/>
        <v>158.92051881438866</v>
      </c>
      <c r="BW80" s="43">
        <f t="shared" si="147"/>
        <v>175.32901938410674</v>
      </c>
      <c r="BX80" s="43">
        <f t="shared" si="148"/>
        <v>207.18491372302384</v>
      </c>
      <c r="BY80" s="43">
        <f t="shared" si="149"/>
        <v>180.35718110533435</v>
      </c>
      <c r="BZ80" s="43"/>
      <c r="CA80" s="43">
        <f t="shared" si="150"/>
        <v>254.35534917908907</v>
      </c>
      <c r="CB80" s="43">
        <f t="shared" si="151"/>
        <v>241.04960735808015</v>
      </c>
      <c r="CC80" s="43">
        <f t="shared" si="152"/>
        <v>197.66237259484618</v>
      </c>
      <c r="CD80" s="43">
        <f t="shared" si="153"/>
        <v>231.90614071236743</v>
      </c>
    </row>
    <row r="81" spans="1:82" ht="12.75">
      <c r="A81" s="150">
        <v>1988</v>
      </c>
      <c r="B81" s="43">
        <f t="shared" si="80"/>
        <v>331.13319616665046</v>
      </c>
      <c r="C81" s="43">
        <f t="shared" si="81"/>
        <v>344.92739664800877</v>
      </c>
      <c r="D81" s="43">
        <f t="shared" si="82"/>
        <v>348.8738410567888</v>
      </c>
      <c r="E81" s="43">
        <f t="shared" si="83"/>
        <v>348.1930127815517</v>
      </c>
      <c r="F81" s="43">
        <f t="shared" si="84"/>
        <v>312.00389851856687</v>
      </c>
      <c r="G81" s="43">
        <f t="shared" si="85"/>
        <v>297.5059800631446</v>
      </c>
      <c r="H81" s="43">
        <f t="shared" si="86"/>
        <v>301.04813886944464</v>
      </c>
      <c r="I81" s="43">
        <f t="shared" si="87"/>
        <v>324.55708211741654</v>
      </c>
      <c r="J81" s="43">
        <f t="shared" si="88"/>
        <v>285.80645416352337</v>
      </c>
      <c r="K81" s="43">
        <f t="shared" si="89"/>
        <v>276.81155088881144</v>
      </c>
      <c r="L81" s="43">
        <f t="shared" si="90"/>
        <v>261.6185434178173</v>
      </c>
      <c r="M81" s="43">
        <f t="shared" si="91"/>
        <v>287.00540216896286</v>
      </c>
      <c r="N81" s="43">
        <f t="shared" si="92"/>
        <v>334.4907110777173</v>
      </c>
      <c r="O81" s="43">
        <f t="shared" si="93"/>
        <v>185.90000099755449</v>
      </c>
      <c r="P81" s="43">
        <f t="shared" si="94"/>
        <v>214.10441384792745</v>
      </c>
      <c r="Q81" s="43">
        <f t="shared" si="95"/>
        <v>229.718178825977</v>
      </c>
      <c r="R81" s="43">
        <f t="shared" si="96"/>
        <v>226.33512358872184</v>
      </c>
      <c r="S81" s="43">
        <f t="shared" si="97"/>
        <v>262.84291063987314</v>
      </c>
      <c r="T81" s="43">
        <f t="shared" si="98"/>
        <v>275.29911224852503</v>
      </c>
      <c r="U81" s="43">
        <f t="shared" si="99"/>
        <v>276.72367063067844</v>
      </c>
      <c r="V81" s="43">
        <f t="shared" si="100"/>
        <v>284.2882747041193</v>
      </c>
      <c r="W81" s="43">
        <f t="shared" si="101"/>
        <v>234.53419129827702</v>
      </c>
      <c r="X81" s="43">
        <f t="shared" si="102"/>
        <v>257.47697251176436</v>
      </c>
      <c r="Z81" s="43">
        <f t="shared" si="103"/>
        <v>336.87132635440395</v>
      </c>
      <c r="AA81" s="43">
        <f t="shared" si="104"/>
        <v>305.60397339438816</v>
      </c>
      <c r="AB81" s="43">
        <f t="shared" si="105"/>
        <v>297.5059800631446</v>
      </c>
      <c r="AC81" s="43">
        <f t="shared" si="106"/>
        <v>301.04813886944464</v>
      </c>
      <c r="AD81" s="43">
        <f t="shared" si="107"/>
        <v>341.7124822480474</v>
      </c>
      <c r="AE81" s="43">
        <f t="shared" si="108"/>
        <v>338.98170553966605</v>
      </c>
      <c r="AF81" s="43">
        <f t="shared" si="109"/>
        <v>209.31192522742955</v>
      </c>
      <c r="AG81" s="43">
        <f t="shared" si="110"/>
        <v>226.6823507684149</v>
      </c>
      <c r="AH81" s="43">
        <f t="shared" si="111"/>
        <v>276.4565869274273</v>
      </c>
      <c r="AI81" s="43">
        <f t="shared" si="112"/>
        <v>234.44915159642957</v>
      </c>
      <c r="AK81" s="43">
        <f t="shared" si="113"/>
        <v>314.11833573163335</v>
      </c>
      <c r="AL81" s="43">
        <f t="shared" si="114"/>
        <v>286.88745520767225</v>
      </c>
      <c r="AM81" s="43">
        <f t="shared" si="115"/>
        <v>262.4915581406836</v>
      </c>
      <c r="AN81" s="43">
        <f t="shared" si="116"/>
        <v>284.5179101569124</v>
      </c>
      <c r="AO81" s="43"/>
      <c r="AP81" s="43"/>
      <c r="AQ81" s="43"/>
      <c r="AR81" s="43">
        <f t="shared" si="117"/>
        <v>341.5893265745273</v>
      </c>
      <c r="AS81" s="43">
        <f t="shared" si="118"/>
        <v>416.92119908853664</v>
      </c>
      <c r="AT81" s="43">
        <f t="shared" si="119"/>
        <v>359.6976500248683</v>
      </c>
      <c r="AU81" s="43">
        <f t="shared" si="120"/>
        <v>352.0260851312802</v>
      </c>
      <c r="AV81" s="43">
        <f t="shared" si="121"/>
        <v>313.335491423901</v>
      </c>
      <c r="AW81" s="43">
        <f t="shared" si="122"/>
        <v>307.67191890659547</v>
      </c>
      <c r="AX81" s="43">
        <f t="shared" si="123"/>
        <v>306.1187301816718</v>
      </c>
      <c r="AY81" s="43">
        <f t="shared" si="124"/>
        <v>330.59972187661384</v>
      </c>
      <c r="AZ81" s="43">
        <f t="shared" si="125"/>
        <v>289.2492869734078</v>
      </c>
      <c r="BA81" s="43">
        <f t="shared" si="126"/>
        <v>283.25965896261283</v>
      </c>
      <c r="BB81" s="43">
        <f t="shared" si="127"/>
        <v>261.6715009158081</v>
      </c>
      <c r="BC81" s="43">
        <f t="shared" si="128"/>
        <v>317.50640640720366</v>
      </c>
      <c r="BD81" s="43">
        <f t="shared" si="129"/>
        <v>371.6297053862685</v>
      </c>
      <c r="BE81" s="43">
        <f t="shared" si="130"/>
        <v>197.92042091243627</v>
      </c>
      <c r="BF81" s="43">
        <f t="shared" si="131"/>
        <v>220.52222968278448</v>
      </c>
      <c r="BG81" s="43">
        <f t="shared" si="132"/>
        <v>236.46239174837166</v>
      </c>
      <c r="BH81" s="43">
        <f t="shared" si="133"/>
        <v>241.042086108013</v>
      </c>
      <c r="BI81" s="43">
        <f t="shared" si="134"/>
        <v>292.2988393773797</v>
      </c>
      <c r="BJ81" s="43">
        <f t="shared" si="135"/>
        <v>309.2284606926412</v>
      </c>
      <c r="BK81" s="43">
        <f t="shared" si="136"/>
        <v>292.59059987817716</v>
      </c>
      <c r="BL81" s="43">
        <f t="shared" si="137"/>
        <v>325.0844076661853</v>
      </c>
      <c r="BM81" s="43">
        <f t="shared" si="138"/>
        <v>272.610934432882</v>
      </c>
      <c r="BN81" s="43">
        <f t="shared" si="139"/>
        <v>268.95609790465807</v>
      </c>
      <c r="BO81" s="43"/>
      <c r="BP81" s="43">
        <f t="shared" si="140"/>
        <v>355.5258894636051</v>
      </c>
      <c r="BQ81" s="43">
        <f t="shared" si="141"/>
        <v>307.86421294435144</v>
      </c>
      <c r="BR81" s="43">
        <f t="shared" si="142"/>
        <v>307.67191890659547</v>
      </c>
      <c r="BS81" s="43">
        <f t="shared" si="143"/>
        <v>306.1187301816718</v>
      </c>
      <c r="BT81" s="43">
        <f t="shared" si="144"/>
        <v>327.95374897748684</v>
      </c>
      <c r="BU81" s="43">
        <f t="shared" si="145"/>
        <v>411.2361631580796</v>
      </c>
      <c r="BV81" s="43">
        <f t="shared" si="146"/>
        <v>220.5985677949186</v>
      </c>
      <c r="BW81" s="43">
        <f t="shared" si="147"/>
        <v>240.61529942960163</v>
      </c>
      <c r="BX81" s="43">
        <f t="shared" si="148"/>
        <v>303.7374762287347</v>
      </c>
      <c r="BY81" s="43">
        <f t="shared" si="149"/>
        <v>268.8861997716528</v>
      </c>
      <c r="BZ81" s="43"/>
      <c r="CA81" s="43">
        <f t="shared" si="150"/>
        <v>322.6410209805628</v>
      </c>
      <c r="CB81" s="43">
        <f t="shared" si="151"/>
        <v>317.02208979202567</v>
      </c>
      <c r="CC81" s="43">
        <f t="shared" si="152"/>
        <v>289.95938704597523</v>
      </c>
      <c r="CD81" s="43">
        <f t="shared" si="153"/>
        <v>306.3236100210303</v>
      </c>
    </row>
    <row r="82" spans="1:82" ht="12.75">
      <c r="A82" s="150">
        <v>1989</v>
      </c>
      <c r="B82" s="43">
        <f t="shared" si="80"/>
        <v>361.25144913730776</v>
      </c>
      <c r="C82" s="43">
        <f t="shared" si="81"/>
        <v>382.03247844406303</v>
      </c>
      <c r="D82" s="43">
        <f t="shared" si="82"/>
        <v>375.7766891117374</v>
      </c>
      <c r="E82" s="43">
        <f t="shared" si="83"/>
        <v>374.4113198965795</v>
      </c>
      <c r="F82" s="43">
        <f t="shared" si="84"/>
        <v>342.5429649071236</v>
      </c>
      <c r="G82" s="43">
        <f t="shared" si="85"/>
        <v>332.7274155368402</v>
      </c>
      <c r="H82" s="43">
        <f t="shared" si="86"/>
        <v>330.69045250064397</v>
      </c>
      <c r="I82" s="43">
        <f t="shared" si="87"/>
        <v>354.9477634384779</v>
      </c>
      <c r="J82" s="43">
        <f t="shared" si="88"/>
        <v>315.2977075234861</v>
      </c>
      <c r="K82" s="43">
        <f t="shared" si="89"/>
        <v>296.0671990352042</v>
      </c>
      <c r="L82" s="43">
        <f t="shared" si="90"/>
        <v>289.46079982582603</v>
      </c>
      <c r="M82" s="43">
        <f t="shared" si="91"/>
        <v>334.4021917966508</v>
      </c>
      <c r="N82" s="43">
        <f t="shared" si="92"/>
        <v>379.1534829271562</v>
      </c>
      <c r="O82" s="43">
        <f t="shared" si="93"/>
        <v>225.53272863022693</v>
      </c>
      <c r="P82" s="43">
        <f t="shared" si="94"/>
        <v>246.52954244489237</v>
      </c>
      <c r="Q82" s="43">
        <f t="shared" si="95"/>
        <v>286.01286978543516</v>
      </c>
      <c r="R82" s="43">
        <f t="shared" si="96"/>
        <v>302.4004286466532</v>
      </c>
      <c r="S82" s="43">
        <f t="shared" si="97"/>
        <v>338.0459734589809</v>
      </c>
      <c r="T82" s="43">
        <f t="shared" si="98"/>
        <v>348.8504181791176</v>
      </c>
      <c r="U82" s="43">
        <f t="shared" si="99"/>
        <v>345.1424912994312</v>
      </c>
      <c r="V82" s="43">
        <f t="shared" si="100"/>
        <v>374.53965283127025</v>
      </c>
      <c r="W82" s="43">
        <f t="shared" si="101"/>
        <v>310.936283989795</v>
      </c>
      <c r="X82" s="43">
        <f t="shared" si="102"/>
        <v>333.99969519160027</v>
      </c>
      <c r="Z82" s="43">
        <f t="shared" si="103"/>
        <v>365.3526179480266</v>
      </c>
      <c r="AA82" s="43">
        <f t="shared" si="104"/>
        <v>335.6167895342989</v>
      </c>
      <c r="AB82" s="43">
        <f t="shared" si="105"/>
        <v>332.7274155368402</v>
      </c>
      <c r="AC82" s="43">
        <f t="shared" si="106"/>
        <v>330.69045250064397</v>
      </c>
      <c r="AD82" s="43">
        <f t="shared" si="107"/>
        <v>361.3895171408261</v>
      </c>
      <c r="AE82" s="43">
        <f t="shared" si="108"/>
        <v>408.0613974866019</v>
      </c>
      <c r="AF82" s="43">
        <f t="shared" si="109"/>
        <v>248.7359937935561</v>
      </c>
      <c r="AG82" s="43">
        <f t="shared" si="110"/>
        <v>302.8358104761273</v>
      </c>
      <c r="AH82" s="43">
        <f t="shared" si="111"/>
        <v>352.3315347839117</v>
      </c>
      <c r="AI82" s="43">
        <f t="shared" si="112"/>
        <v>310.83730383483277</v>
      </c>
      <c r="AK82" s="43">
        <f t="shared" si="113"/>
        <v>345.06373498806875</v>
      </c>
      <c r="AL82" s="43">
        <f t="shared" si="114"/>
        <v>334.34523871049106</v>
      </c>
      <c r="AM82" s="43">
        <f t="shared" si="115"/>
        <v>337.781145540034</v>
      </c>
      <c r="AN82" s="43">
        <f t="shared" si="116"/>
        <v>328.29264083843236</v>
      </c>
      <c r="AO82" s="43"/>
      <c r="AP82" s="43"/>
      <c r="AQ82" s="43"/>
      <c r="AR82" s="43">
        <f t="shared" si="117"/>
        <v>335.6842072966873</v>
      </c>
      <c r="AS82" s="43">
        <f t="shared" si="118"/>
        <v>352.410854735274</v>
      </c>
      <c r="AT82" s="43">
        <f t="shared" si="119"/>
        <v>335.0423135288906</v>
      </c>
      <c r="AU82" s="43">
        <f t="shared" si="120"/>
        <v>329.5882038199875</v>
      </c>
      <c r="AV82" s="43">
        <f t="shared" si="121"/>
        <v>326.1415385103706</v>
      </c>
      <c r="AW82" s="43">
        <f t="shared" si="122"/>
        <v>323.8498684942042</v>
      </c>
      <c r="AX82" s="43">
        <f t="shared" si="123"/>
        <v>327.3513180077791</v>
      </c>
      <c r="AY82" s="43">
        <f t="shared" si="124"/>
        <v>351.25512542237345</v>
      </c>
      <c r="AZ82" s="43">
        <f t="shared" si="125"/>
        <v>312.75084555259036</v>
      </c>
      <c r="BA82" s="43">
        <f t="shared" si="126"/>
        <v>284.7199856415266</v>
      </c>
      <c r="BB82" s="43">
        <f t="shared" si="127"/>
        <v>285.57029699712206</v>
      </c>
      <c r="BC82" s="43">
        <f t="shared" si="128"/>
        <v>324.402652099536</v>
      </c>
      <c r="BD82" s="43">
        <f t="shared" si="129"/>
        <v>338.4809909857637</v>
      </c>
      <c r="BE82" s="43">
        <f t="shared" si="130"/>
        <v>226.86194159443556</v>
      </c>
      <c r="BF82" s="43">
        <f t="shared" si="131"/>
        <v>243.60710782113085</v>
      </c>
      <c r="BG82" s="43">
        <f t="shared" si="132"/>
        <v>290.6772369977781</v>
      </c>
      <c r="BH82" s="43">
        <f t="shared" si="133"/>
        <v>325.8827797750493</v>
      </c>
      <c r="BI82" s="43">
        <f t="shared" si="134"/>
        <v>358.35297284931073</v>
      </c>
      <c r="BJ82" s="43">
        <f t="shared" si="135"/>
        <v>366.2366794486347</v>
      </c>
      <c r="BK82" s="43">
        <f t="shared" si="136"/>
        <v>354.24458757705224</v>
      </c>
      <c r="BL82" s="43">
        <f t="shared" si="137"/>
        <v>399.1881909169899</v>
      </c>
      <c r="BM82" s="43">
        <f t="shared" si="138"/>
        <v>349.2202991044884</v>
      </c>
      <c r="BN82" s="43">
        <f t="shared" si="139"/>
        <v>344.5736716660555</v>
      </c>
      <c r="BO82" s="43"/>
      <c r="BP82" s="43">
        <f t="shared" si="140"/>
        <v>333.41289810641643</v>
      </c>
      <c r="BQ82" s="43">
        <f t="shared" si="141"/>
        <v>322.217073834774</v>
      </c>
      <c r="BR82" s="43">
        <f t="shared" si="142"/>
        <v>323.8498684942042</v>
      </c>
      <c r="BS82" s="43">
        <f t="shared" si="143"/>
        <v>327.3513180077791</v>
      </c>
      <c r="BT82" s="43">
        <f t="shared" si="144"/>
        <v>290.7996795085757</v>
      </c>
      <c r="BU82" s="43">
        <f t="shared" si="145"/>
        <v>384.3993812433606</v>
      </c>
      <c r="BV82" s="43">
        <f t="shared" si="146"/>
        <v>249.22686217118283</v>
      </c>
      <c r="BW82" s="43">
        <f t="shared" si="147"/>
        <v>325.07724357807376</v>
      </c>
      <c r="BX82" s="43">
        <f t="shared" si="148"/>
        <v>367.7605662496836</v>
      </c>
      <c r="BY82" s="43">
        <f t="shared" si="149"/>
        <v>346.43759603157264</v>
      </c>
      <c r="BZ82" s="43"/>
      <c r="CA82" s="43">
        <f t="shared" si="150"/>
        <v>330.3041421244672</v>
      </c>
      <c r="CB82" s="43">
        <f t="shared" si="151"/>
        <v>324.6305095989411</v>
      </c>
      <c r="CC82" s="43">
        <f t="shared" si="152"/>
        <v>357.11467462309764</v>
      </c>
      <c r="CD82" s="43">
        <f t="shared" si="153"/>
        <v>321.9545700351417</v>
      </c>
    </row>
    <row r="83" spans="1:82" ht="12.75">
      <c r="A83" s="150">
        <v>1990</v>
      </c>
      <c r="B83" s="43">
        <f t="shared" si="80"/>
        <v>329.67492959509957</v>
      </c>
      <c r="C83" s="43">
        <f t="shared" si="81"/>
        <v>343.4475801536911</v>
      </c>
      <c r="D83" s="43">
        <f t="shared" si="82"/>
        <v>337.7258797713031</v>
      </c>
      <c r="E83" s="43">
        <f t="shared" si="83"/>
        <v>337.40304483385404</v>
      </c>
      <c r="F83" s="43">
        <f t="shared" si="84"/>
        <v>318.48449402116825</v>
      </c>
      <c r="G83" s="43">
        <f t="shared" si="85"/>
        <v>310.41175377694145</v>
      </c>
      <c r="H83" s="43">
        <f t="shared" si="86"/>
        <v>288.3452755055745</v>
      </c>
      <c r="I83" s="43">
        <f t="shared" si="87"/>
        <v>306.15533056950005</v>
      </c>
      <c r="J83" s="43">
        <f t="shared" si="88"/>
        <v>278.8242894255645</v>
      </c>
      <c r="K83" s="43">
        <f t="shared" si="89"/>
        <v>276.75994642484085</v>
      </c>
      <c r="L83" s="43">
        <f t="shared" si="90"/>
        <v>273.7738191322252</v>
      </c>
      <c r="M83" s="43">
        <f t="shared" si="91"/>
        <v>301.25858736110933</v>
      </c>
      <c r="N83" s="43">
        <f t="shared" si="92"/>
        <v>333.72467755536286</v>
      </c>
      <c r="O83" s="43">
        <f t="shared" si="93"/>
        <v>211.2419149403912</v>
      </c>
      <c r="P83" s="43">
        <f t="shared" si="94"/>
        <v>219.9676359943896</v>
      </c>
      <c r="Q83" s="43">
        <f t="shared" si="95"/>
        <v>263.00642355919945</v>
      </c>
      <c r="R83" s="43">
        <f t="shared" si="96"/>
        <v>300.6390973500008</v>
      </c>
      <c r="S83" s="43">
        <f t="shared" si="97"/>
        <v>324.9260711830644</v>
      </c>
      <c r="T83" s="43">
        <f t="shared" si="98"/>
        <v>335.20328516482505</v>
      </c>
      <c r="U83" s="43">
        <f t="shared" si="99"/>
        <v>315.09959765852136</v>
      </c>
      <c r="V83" s="43">
        <f t="shared" si="100"/>
        <v>360.54520342702153</v>
      </c>
      <c r="W83" s="43">
        <f t="shared" si="101"/>
        <v>317.43432373349896</v>
      </c>
      <c r="X83" s="43">
        <f t="shared" si="102"/>
        <v>338.03905410527796</v>
      </c>
      <c r="Z83" s="43">
        <f t="shared" si="103"/>
        <v>330.429218833087</v>
      </c>
      <c r="AA83" s="43">
        <f t="shared" si="104"/>
        <v>312.48242217658907</v>
      </c>
      <c r="AB83" s="43">
        <f t="shared" si="105"/>
        <v>310.41175377694145</v>
      </c>
      <c r="AC83" s="43">
        <f t="shared" si="106"/>
        <v>288.3452755055745</v>
      </c>
      <c r="AD83" s="43">
        <f t="shared" si="107"/>
        <v>308.90350814734705</v>
      </c>
      <c r="AE83" s="43">
        <f t="shared" si="108"/>
        <v>366.8590301209822</v>
      </c>
      <c r="AF83" s="43">
        <f t="shared" si="109"/>
        <v>226.9709476230361</v>
      </c>
      <c r="AG83" s="43">
        <f t="shared" si="110"/>
        <v>300.7790707856976</v>
      </c>
      <c r="AH83" s="43">
        <f t="shared" si="111"/>
        <v>333.40044432159084</v>
      </c>
      <c r="AI83" s="43">
        <f t="shared" si="112"/>
        <v>317.9544212458174</v>
      </c>
      <c r="AK83" s="43">
        <f t="shared" si="113"/>
        <v>316.6039133174578</v>
      </c>
      <c r="AL83" s="43">
        <f t="shared" si="114"/>
        <v>301.24399017338857</v>
      </c>
      <c r="AM83" s="43">
        <f t="shared" si="115"/>
        <v>325.9656286252727</v>
      </c>
      <c r="AN83" s="43">
        <f t="shared" si="116"/>
        <v>300.6854293046138</v>
      </c>
      <c r="AO83" s="43"/>
      <c r="AP83" s="43"/>
      <c r="AQ83" s="43"/>
      <c r="AR83" s="43">
        <f t="shared" si="117"/>
        <v>268.18468408484193</v>
      </c>
      <c r="AS83" s="43">
        <f t="shared" si="118"/>
        <v>236.76015525777277</v>
      </c>
      <c r="AT83" s="43">
        <f t="shared" si="119"/>
        <v>256.2865650807114</v>
      </c>
      <c r="AU83" s="43">
        <f t="shared" si="120"/>
        <v>251.40201332469482</v>
      </c>
      <c r="AV83" s="43">
        <f t="shared" si="121"/>
        <v>279.1349220818094</v>
      </c>
      <c r="AW83" s="43">
        <f t="shared" si="122"/>
        <v>267.44520568620607</v>
      </c>
      <c r="AX83" s="43">
        <f t="shared" si="123"/>
        <v>271.68535436093055</v>
      </c>
      <c r="AY83" s="43">
        <f t="shared" si="124"/>
        <v>286.7373884747171</v>
      </c>
      <c r="AZ83" s="43">
        <f t="shared" si="125"/>
        <v>267.0612508254961</v>
      </c>
      <c r="BA83" s="43">
        <f t="shared" si="126"/>
        <v>250.8627589020754</v>
      </c>
      <c r="BB83" s="43">
        <f t="shared" si="127"/>
        <v>259.1284686367961</v>
      </c>
      <c r="BC83" s="43">
        <f t="shared" si="128"/>
        <v>208.49482733570827</v>
      </c>
      <c r="BD83" s="43">
        <f t="shared" si="129"/>
        <v>194.40883562180224</v>
      </c>
      <c r="BE83" s="43">
        <f t="shared" si="130"/>
        <v>175.7660616148149</v>
      </c>
      <c r="BF83" s="43">
        <f t="shared" si="131"/>
        <v>191.09919834636847</v>
      </c>
      <c r="BG83" s="43">
        <f t="shared" si="132"/>
        <v>235.79474261407563</v>
      </c>
      <c r="BH83" s="43">
        <f t="shared" si="133"/>
        <v>268.7413352989386</v>
      </c>
      <c r="BI83" s="43">
        <f t="shared" si="134"/>
        <v>280.5477112799844</v>
      </c>
      <c r="BJ83" s="43">
        <f t="shared" si="135"/>
        <v>285.6536531985952</v>
      </c>
      <c r="BK83" s="43">
        <f t="shared" si="136"/>
        <v>282.44730185384117</v>
      </c>
      <c r="BL83" s="43">
        <f t="shared" si="137"/>
        <v>282.3172722961158</v>
      </c>
      <c r="BM83" s="43">
        <f t="shared" si="138"/>
        <v>280.35327150161396</v>
      </c>
      <c r="BN83" s="43">
        <f t="shared" si="139"/>
        <v>316.6702980595904</v>
      </c>
      <c r="BO83" s="43"/>
      <c r="BP83" s="43">
        <f t="shared" si="140"/>
        <v>255.88906881578743</v>
      </c>
      <c r="BQ83" s="43">
        <f t="shared" si="141"/>
        <v>278.2660559408821</v>
      </c>
      <c r="BR83" s="43">
        <f t="shared" si="142"/>
        <v>267.44520568620607</v>
      </c>
      <c r="BS83" s="43">
        <f t="shared" si="143"/>
        <v>271.68535436093055</v>
      </c>
      <c r="BT83" s="43">
        <f t="shared" si="144"/>
        <v>178.8412686994309</v>
      </c>
      <c r="BU83" s="43">
        <f t="shared" si="145"/>
        <v>205.45309548085945</v>
      </c>
      <c r="BV83" s="43">
        <f t="shared" si="146"/>
        <v>194.63684319368647</v>
      </c>
      <c r="BW83" s="43">
        <f t="shared" si="147"/>
        <v>270.5575727547822</v>
      </c>
      <c r="BX83" s="43">
        <f t="shared" si="148"/>
        <v>285.09565411458703</v>
      </c>
      <c r="BY83" s="43">
        <f t="shared" si="149"/>
        <v>284.69260444794844</v>
      </c>
      <c r="BZ83" s="43"/>
      <c r="CA83" s="43">
        <f t="shared" si="150"/>
        <v>273.2581389895707</v>
      </c>
      <c r="CB83" s="43">
        <f t="shared" si="151"/>
        <v>209.31162965402058</v>
      </c>
      <c r="CC83" s="43">
        <f t="shared" si="152"/>
        <v>284.8968802828737</v>
      </c>
      <c r="CD83" s="43">
        <f t="shared" si="153"/>
        <v>239.1169891973112</v>
      </c>
    </row>
    <row r="84" spans="1:82" ht="12.75">
      <c r="A84" s="150">
        <v>1991</v>
      </c>
      <c r="B84" s="43">
        <f t="shared" si="80"/>
        <v>333.9201206960027</v>
      </c>
      <c r="C84" s="43">
        <f t="shared" si="81"/>
        <v>318.58616541104175</v>
      </c>
      <c r="D84" s="43">
        <f t="shared" si="82"/>
        <v>345.5624035403405</v>
      </c>
      <c r="E84" s="43">
        <f t="shared" si="83"/>
        <v>341.3537645664226</v>
      </c>
      <c r="F84" s="43">
        <f t="shared" si="84"/>
        <v>333.63410073586834</v>
      </c>
      <c r="G84" s="43">
        <f t="shared" si="85"/>
        <v>318.532683996903</v>
      </c>
      <c r="H84" s="43">
        <f t="shared" si="86"/>
        <v>329.2536271083217</v>
      </c>
      <c r="I84" s="43">
        <f t="shared" si="87"/>
        <v>350.23447290570664</v>
      </c>
      <c r="J84" s="43">
        <f t="shared" si="88"/>
        <v>317.5436147306507</v>
      </c>
      <c r="K84" s="43">
        <f t="shared" si="89"/>
        <v>297.93504365776795</v>
      </c>
      <c r="L84" s="43">
        <f t="shared" si="90"/>
        <v>303.95817663562855</v>
      </c>
      <c r="M84" s="43">
        <f t="shared" si="91"/>
        <v>267.1918445402928</v>
      </c>
      <c r="N84" s="43">
        <f t="shared" si="92"/>
        <v>275.4241444228124</v>
      </c>
      <c r="O84" s="43">
        <f t="shared" si="93"/>
        <v>205.8249328946173</v>
      </c>
      <c r="P84" s="43">
        <f t="shared" si="94"/>
        <v>208.36361730248677</v>
      </c>
      <c r="Q84" s="43">
        <f t="shared" si="95"/>
        <v>263.0267539557406</v>
      </c>
      <c r="R84" s="43">
        <f t="shared" si="96"/>
        <v>313.6561088592416</v>
      </c>
      <c r="S84" s="43">
        <f t="shared" si="97"/>
        <v>353.22004859475754</v>
      </c>
      <c r="T84" s="43">
        <f t="shared" si="98"/>
        <v>360.41332087615825</v>
      </c>
      <c r="U84" s="43">
        <f t="shared" si="99"/>
        <v>336.331890827626</v>
      </c>
      <c r="V84" s="43">
        <f t="shared" si="100"/>
        <v>386.9484694917874</v>
      </c>
      <c r="W84" s="43">
        <f t="shared" si="101"/>
        <v>360.41839120114344</v>
      </c>
      <c r="X84" s="43">
        <f t="shared" si="102"/>
        <v>383.6037100510879</v>
      </c>
      <c r="Z84" s="43">
        <f t="shared" si="103"/>
        <v>328.5775926195121</v>
      </c>
      <c r="AA84" s="43">
        <f t="shared" si="104"/>
        <v>330.1392726899195</v>
      </c>
      <c r="AB84" s="43">
        <f t="shared" si="105"/>
        <v>318.532683996903</v>
      </c>
      <c r="AC84" s="43">
        <f t="shared" si="106"/>
        <v>329.2536271083217</v>
      </c>
      <c r="AD84" s="43">
        <f t="shared" si="107"/>
        <v>253.24836308443955</v>
      </c>
      <c r="AE84" s="43">
        <f t="shared" si="108"/>
        <v>302.33109473591225</v>
      </c>
      <c r="AF84" s="43">
        <f t="shared" si="109"/>
        <v>219.66693174014776</v>
      </c>
      <c r="AG84" s="43">
        <f t="shared" si="110"/>
        <v>313.1191638007295</v>
      </c>
      <c r="AH84" s="43">
        <f t="shared" si="111"/>
        <v>357.950986160011</v>
      </c>
      <c r="AI84" s="43">
        <f t="shared" si="112"/>
        <v>362.4128433327036</v>
      </c>
      <c r="AK84" s="43">
        <f t="shared" si="113"/>
        <v>327.2389553697045</v>
      </c>
      <c r="AL84" s="43">
        <f t="shared" si="114"/>
        <v>268.6330027635625</v>
      </c>
      <c r="AM84" s="43">
        <f t="shared" si="115"/>
        <v>355.64991677197315</v>
      </c>
      <c r="AN84" s="43">
        <f t="shared" si="116"/>
        <v>291.3750958772545</v>
      </c>
      <c r="AO84" s="43"/>
      <c r="AP84" s="43"/>
      <c r="AQ84" s="43"/>
      <c r="AR84" s="43">
        <f t="shared" si="117"/>
        <v>288.7783661542943</v>
      </c>
      <c r="AS84" s="43">
        <f t="shared" si="118"/>
        <v>226.99963961512566</v>
      </c>
      <c r="AT84" s="43">
        <f t="shared" si="119"/>
        <v>286.1612382292599</v>
      </c>
      <c r="AU84" s="43">
        <f t="shared" si="120"/>
        <v>276.4313267842493</v>
      </c>
      <c r="AV84" s="43">
        <f t="shared" si="121"/>
        <v>306.8663176640433</v>
      </c>
      <c r="AW84" s="43">
        <f t="shared" si="122"/>
        <v>288.84127442473647</v>
      </c>
      <c r="AX84" s="43">
        <f t="shared" si="123"/>
        <v>323.8272714365944</v>
      </c>
      <c r="AY84" s="43">
        <f t="shared" si="124"/>
        <v>344.15851665259987</v>
      </c>
      <c r="AZ84" s="43">
        <f t="shared" si="125"/>
        <v>313.59243192796407</v>
      </c>
      <c r="BA84" s="43">
        <f t="shared" si="126"/>
        <v>284.2227517138532</v>
      </c>
      <c r="BB84" s="43">
        <f t="shared" si="127"/>
        <v>297.8857349608523</v>
      </c>
      <c r="BC84" s="43">
        <f t="shared" si="128"/>
        <v>182.07252390703408</v>
      </c>
      <c r="BD84" s="43">
        <f t="shared" si="129"/>
        <v>147.56673684044083</v>
      </c>
      <c r="BE84" s="43">
        <f t="shared" si="130"/>
        <v>175.1392760101544</v>
      </c>
      <c r="BF84" s="43">
        <f t="shared" si="131"/>
        <v>185.38873240264755</v>
      </c>
      <c r="BG84" s="43">
        <f t="shared" si="132"/>
        <v>242.1338532856995</v>
      </c>
      <c r="BH84" s="43">
        <f t="shared" si="133"/>
        <v>286.9226220020234</v>
      </c>
      <c r="BI84" s="43">
        <f t="shared" si="134"/>
        <v>324.3586018804948</v>
      </c>
      <c r="BJ84" s="43">
        <f t="shared" si="135"/>
        <v>326.42680894777544</v>
      </c>
      <c r="BK84" s="43">
        <f t="shared" si="136"/>
        <v>316.56688484854476</v>
      </c>
      <c r="BL84" s="43">
        <f t="shared" si="137"/>
        <v>325.4663224661171</v>
      </c>
      <c r="BM84" s="43">
        <f t="shared" si="138"/>
        <v>341.283535581801</v>
      </c>
      <c r="BN84" s="43">
        <f t="shared" si="139"/>
        <v>372.03866686942723</v>
      </c>
      <c r="BO84" s="43"/>
      <c r="BP84" s="43">
        <f t="shared" si="140"/>
        <v>271.9581899739182</v>
      </c>
      <c r="BQ84" s="43">
        <f t="shared" si="141"/>
        <v>308.0798466144483</v>
      </c>
      <c r="BR84" s="43">
        <f t="shared" si="142"/>
        <v>288.84127442473647</v>
      </c>
      <c r="BS84" s="43">
        <f t="shared" si="143"/>
        <v>323.8272714365944</v>
      </c>
      <c r="BT84" s="43">
        <f t="shared" si="144"/>
        <v>139.2331219657608</v>
      </c>
      <c r="BU84" s="43">
        <f t="shared" si="145"/>
        <v>150.90224989856483</v>
      </c>
      <c r="BV84" s="43">
        <f t="shared" si="146"/>
        <v>193.50772006665605</v>
      </c>
      <c r="BW84" s="43">
        <f t="shared" si="147"/>
        <v>287.73221628404923</v>
      </c>
      <c r="BX84" s="43">
        <f t="shared" si="148"/>
        <v>325.01473048026077</v>
      </c>
      <c r="BY84" s="43">
        <f t="shared" si="149"/>
        <v>346.60231513578043</v>
      </c>
      <c r="BZ84" s="43"/>
      <c r="CA84" s="43">
        <f t="shared" si="150"/>
        <v>298.248882040002</v>
      </c>
      <c r="CB84" s="43">
        <f t="shared" si="151"/>
        <v>184.77637627925964</v>
      </c>
      <c r="CC84" s="43">
        <f t="shared" si="152"/>
        <v>329.5039762086335</v>
      </c>
      <c r="CD84" s="43">
        <f t="shared" si="153"/>
        <v>240.96039135186993</v>
      </c>
    </row>
    <row r="85" spans="1:82" ht="12.75">
      <c r="A85" s="150">
        <v>1992</v>
      </c>
      <c r="B85" s="43">
        <f t="shared" si="80"/>
        <v>335.89469054571435</v>
      </c>
      <c r="C85" s="43">
        <f t="shared" si="81"/>
        <v>303.09526356271175</v>
      </c>
      <c r="D85" s="43">
        <f t="shared" si="82"/>
        <v>344.24228604633566</v>
      </c>
      <c r="E85" s="43">
        <f t="shared" si="83"/>
        <v>340.3173804018225</v>
      </c>
      <c r="F85" s="43">
        <f t="shared" si="84"/>
        <v>344.45522252254557</v>
      </c>
      <c r="G85" s="43">
        <f t="shared" si="85"/>
        <v>330.69798870430753</v>
      </c>
      <c r="H85" s="43">
        <f t="shared" si="86"/>
        <v>377.6286894654085</v>
      </c>
      <c r="I85" s="43">
        <f t="shared" si="87"/>
        <v>402.9507851109494</v>
      </c>
      <c r="J85" s="43">
        <f t="shared" si="88"/>
        <v>362.9250746406284</v>
      </c>
      <c r="K85" s="43">
        <f t="shared" si="89"/>
        <v>319.8346100743104</v>
      </c>
      <c r="L85" s="43">
        <f t="shared" si="90"/>
        <v>330.4284048437599</v>
      </c>
      <c r="M85" s="43">
        <f t="shared" si="91"/>
        <v>248.05783576499562</v>
      </c>
      <c r="N85" s="43">
        <f t="shared" si="92"/>
        <v>246.94038533972287</v>
      </c>
      <c r="O85" s="43">
        <f t="shared" si="93"/>
        <v>194.6655784304168</v>
      </c>
      <c r="P85" s="43">
        <f t="shared" si="94"/>
        <v>194.9753797636093</v>
      </c>
      <c r="Q85" s="43">
        <f t="shared" si="95"/>
        <v>255.8841835440463</v>
      </c>
      <c r="R85" s="43">
        <f t="shared" si="96"/>
        <v>316.96985428372864</v>
      </c>
      <c r="S85" s="43">
        <f t="shared" si="97"/>
        <v>356.4610191506387</v>
      </c>
      <c r="T85" s="43">
        <f t="shared" si="98"/>
        <v>361.3928161583034</v>
      </c>
      <c r="U85" s="43">
        <f t="shared" si="99"/>
        <v>328.4957277364222</v>
      </c>
      <c r="V85" s="43">
        <f t="shared" si="100"/>
        <v>380.5211780238349</v>
      </c>
      <c r="W85" s="43">
        <f t="shared" si="101"/>
        <v>385.6422362675163</v>
      </c>
      <c r="X85" s="43">
        <f t="shared" si="102"/>
        <v>407.44859338860556</v>
      </c>
      <c r="Z85" s="43">
        <f t="shared" si="103"/>
        <v>326.0669969498249</v>
      </c>
      <c r="AA85" s="43">
        <f t="shared" si="104"/>
        <v>343.97494741337226</v>
      </c>
      <c r="AB85" s="43">
        <f t="shared" si="105"/>
        <v>330.69798870430753</v>
      </c>
      <c r="AC85" s="43">
        <f t="shared" si="106"/>
        <v>377.6286894654085</v>
      </c>
      <c r="AD85" s="43">
        <f t="shared" si="107"/>
        <v>235.0729813142324</v>
      </c>
      <c r="AE85" s="43">
        <f t="shared" si="108"/>
        <v>264.2711774155788</v>
      </c>
      <c r="AF85" s="43">
        <f t="shared" si="109"/>
        <v>204.60489743136202</v>
      </c>
      <c r="AG85" s="43">
        <f t="shared" si="110"/>
        <v>316.98505824467884</v>
      </c>
      <c r="AH85" s="43">
        <f t="shared" si="111"/>
        <v>354.58298953613286</v>
      </c>
      <c r="AI85" s="43">
        <f t="shared" si="112"/>
        <v>387.90202718869494</v>
      </c>
      <c r="AK85" s="43">
        <f t="shared" si="113"/>
        <v>338.92259686053785</v>
      </c>
      <c r="AL85" s="43">
        <f t="shared" si="114"/>
        <v>249.32930381797567</v>
      </c>
      <c r="AM85" s="43">
        <f t="shared" si="115"/>
        <v>360.58896942615223</v>
      </c>
      <c r="AN85" s="43">
        <f t="shared" si="116"/>
        <v>286.60187646912215</v>
      </c>
      <c r="AO85" s="43"/>
      <c r="AP85" s="43"/>
      <c r="AQ85" s="43"/>
      <c r="AR85" s="43">
        <f t="shared" si="117"/>
        <v>289.20442373425567</v>
      </c>
      <c r="AS85" s="43">
        <f t="shared" si="118"/>
        <v>221.8374485952826</v>
      </c>
      <c r="AT85" s="43">
        <f t="shared" si="119"/>
        <v>279.26710502018295</v>
      </c>
      <c r="AU85" s="43">
        <f t="shared" si="120"/>
        <v>272.353058182021</v>
      </c>
      <c r="AV85" s="43">
        <f t="shared" si="121"/>
        <v>314.7779835802322</v>
      </c>
      <c r="AW85" s="43">
        <f t="shared" si="122"/>
        <v>301.87924001436346</v>
      </c>
      <c r="AX85" s="43">
        <f t="shared" si="123"/>
        <v>371.7083227616825</v>
      </c>
      <c r="AY85" s="43">
        <f t="shared" si="124"/>
        <v>396.4104468478802</v>
      </c>
      <c r="AZ85" s="43">
        <f t="shared" si="125"/>
        <v>358.5855782179025</v>
      </c>
      <c r="BA85" s="43">
        <f t="shared" si="126"/>
        <v>304.77395045908486</v>
      </c>
      <c r="BB85" s="43">
        <f t="shared" si="127"/>
        <v>322.1772115983141</v>
      </c>
      <c r="BC85" s="43">
        <f t="shared" si="128"/>
        <v>176.41106299190128</v>
      </c>
      <c r="BD85" s="43">
        <f t="shared" si="129"/>
        <v>145.00320981616147</v>
      </c>
      <c r="BE85" s="43">
        <f t="shared" si="130"/>
        <v>162.7146122907853</v>
      </c>
      <c r="BF85" s="43">
        <f t="shared" si="131"/>
        <v>172.58994269268914</v>
      </c>
      <c r="BG85" s="43">
        <f t="shared" si="132"/>
        <v>233.36326855154027</v>
      </c>
      <c r="BH85" s="43">
        <f t="shared" si="133"/>
        <v>285.2973102559533</v>
      </c>
      <c r="BI85" s="43">
        <f t="shared" si="134"/>
        <v>313.4682927423001</v>
      </c>
      <c r="BJ85" s="43">
        <f t="shared" si="135"/>
        <v>313.337479614355</v>
      </c>
      <c r="BK85" s="43">
        <f t="shared" si="136"/>
        <v>299.2614456703406</v>
      </c>
      <c r="BL85" s="43">
        <f t="shared" si="137"/>
        <v>299.0128733936075</v>
      </c>
      <c r="BM85" s="43">
        <f t="shared" si="138"/>
        <v>349.1940645699978</v>
      </c>
      <c r="BN85" s="43">
        <f t="shared" si="139"/>
        <v>386.3435227342037</v>
      </c>
      <c r="BO85" s="43"/>
      <c r="BP85" s="43">
        <f t="shared" si="140"/>
        <v>269.45908908807314</v>
      </c>
      <c r="BQ85" s="43">
        <f t="shared" si="141"/>
        <v>319.1757306505623</v>
      </c>
      <c r="BR85" s="43">
        <f t="shared" si="142"/>
        <v>301.87924001436346</v>
      </c>
      <c r="BS85" s="43">
        <f t="shared" si="143"/>
        <v>371.7083227616825</v>
      </c>
      <c r="BT85" s="43">
        <f t="shared" si="144"/>
        <v>147.08323938420602</v>
      </c>
      <c r="BU85" s="43">
        <f t="shared" si="145"/>
        <v>140.93178166259528</v>
      </c>
      <c r="BV85" s="43">
        <f t="shared" si="146"/>
        <v>176.88191083538266</v>
      </c>
      <c r="BW85" s="43">
        <f t="shared" si="147"/>
        <v>287.41006499654355</v>
      </c>
      <c r="BX85" s="43">
        <f t="shared" si="148"/>
        <v>307.8890436388206</v>
      </c>
      <c r="BY85" s="43">
        <f t="shared" si="149"/>
        <v>354.98705016386015</v>
      </c>
      <c r="BZ85" s="43"/>
      <c r="CA85" s="43">
        <f t="shared" si="150"/>
        <v>309.21160136920474</v>
      </c>
      <c r="CB85" s="43">
        <f t="shared" si="151"/>
        <v>178.01503991162437</v>
      </c>
      <c r="CC85" s="43">
        <f t="shared" si="152"/>
        <v>320.86342094792616</v>
      </c>
      <c r="CD85" s="43">
        <f t="shared" si="153"/>
        <v>239.57065282357908</v>
      </c>
    </row>
    <row r="86" spans="1:82" ht="12.75">
      <c r="A86" s="150">
        <v>1993</v>
      </c>
      <c r="B86" s="43">
        <f t="shared" si="80"/>
        <v>400.50161583041057</v>
      </c>
      <c r="C86" s="43">
        <f t="shared" si="81"/>
        <v>359.94175014874173</v>
      </c>
      <c r="D86" s="43">
        <f t="shared" si="82"/>
        <v>400.4610445682205</v>
      </c>
      <c r="E86" s="43">
        <f t="shared" si="83"/>
        <v>399.8322880769215</v>
      </c>
      <c r="F86" s="43">
        <f t="shared" si="84"/>
        <v>416.79161149929195</v>
      </c>
      <c r="G86" s="43">
        <f t="shared" si="85"/>
        <v>387.65416943844815</v>
      </c>
      <c r="H86" s="43">
        <f t="shared" si="86"/>
        <v>511.490205204155</v>
      </c>
      <c r="I86" s="43">
        <f t="shared" si="87"/>
        <v>549.877319558207</v>
      </c>
      <c r="J86" s="43">
        <f t="shared" si="88"/>
        <v>485.95881620174185</v>
      </c>
      <c r="K86" s="43">
        <f t="shared" si="89"/>
        <v>393.7267036759205</v>
      </c>
      <c r="L86" s="43">
        <f t="shared" si="90"/>
        <v>423.2128330952496</v>
      </c>
      <c r="M86" s="43">
        <f t="shared" si="91"/>
        <v>296.30210812725807</v>
      </c>
      <c r="N86" s="43">
        <f t="shared" si="92"/>
        <v>296.92912020096776</v>
      </c>
      <c r="O86" s="43">
        <f t="shared" si="93"/>
        <v>226.04954351841076</v>
      </c>
      <c r="P86" s="43">
        <f t="shared" si="94"/>
        <v>234.32324416847544</v>
      </c>
      <c r="Q86" s="43">
        <f t="shared" si="95"/>
        <v>301.5785736783326</v>
      </c>
      <c r="R86" s="43">
        <f t="shared" si="96"/>
        <v>375.3136712401134</v>
      </c>
      <c r="S86" s="43">
        <f t="shared" si="97"/>
        <v>428.1045866073432</v>
      </c>
      <c r="T86" s="43">
        <f t="shared" si="98"/>
        <v>434.85226655604293</v>
      </c>
      <c r="U86" s="43">
        <f t="shared" si="99"/>
        <v>397.310162517695</v>
      </c>
      <c r="V86" s="43">
        <f t="shared" si="100"/>
        <v>442.370709778651</v>
      </c>
      <c r="W86" s="43">
        <f t="shared" si="101"/>
        <v>471.85969256649054</v>
      </c>
      <c r="X86" s="43">
        <f t="shared" si="102"/>
        <v>533.5441135312783</v>
      </c>
      <c r="Z86" s="43">
        <f t="shared" si="103"/>
        <v>386.1104410696519</v>
      </c>
      <c r="AA86" s="43">
        <f t="shared" si="104"/>
        <v>417.90372858869654</v>
      </c>
      <c r="AB86" s="43">
        <f t="shared" si="105"/>
        <v>387.65416943844815</v>
      </c>
      <c r="AC86" s="43">
        <f t="shared" si="106"/>
        <v>511.490205204155</v>
      </c>
      <c r="AD86" s="43">
        <f t="shared" si="107"/>
        <v>283.4270469319055</v>
      </c>
      <c r="AE86" s="43">
        <f t="shared" si="108"/>
        <v>317.1806984290099</v>
      </c>
      <c r="AF86" s="43">
        <f t="shared" si="109"/>
        <v>241.51492527132845</v>
      </c>
      <c r="AG86" s="43">
        <f t="shared" si="110"/>
        <v>376.230706776819</v>
      </c>
      <c r="AH86" s="43">
        <f t="shared" si="111"/>
        <v>425.3687817785195</v>
      </c>
      <c r="AI86" s="43">
        <f t="shared" si="112"/>
        <v>481.0358298889973</v>
      </c>
      <c r="AK86" s="43">
        <f t="shared" si="113"/>
        <v>409.2462904360649</v>
      </c>
      <c r="AL86" s="43">
        <f t="shared" si="114"/>
        <v>297.4441747467179</v>
      </c>
      <c r="AM86" s="43">
        <f t="shared" si="115"/>
        <v>437.152933481098</v>
      </c>
      <c r="AN86" s="43">
        <f t="shared" si="116"/>
        <v>344.45556053468033</v>
      </c>
      <c r="AO86" s="43"/>
      <c r="AP86" s="43"/>
      <c r="AQ86" s="43"/>
      <c r="AR86" s="43">
        <f t="shared" si="117"/>
        <v>379.1917734348574</v>
      </c>
      <c r="AS86" s="43">
        <f t="shared" si="118"/>
        <v>320.5085905491402</v>
      </c>
      <c r="AT86" s="43">
        <f t="shared" si="119"/>
        <v>359.88665407591236</v>
      </c>
      <c r="AU86" s="43">
        <f t="shared" si="120"/>
        <v>358.48744056357936</v>
      </c>
      <c r="AV86" s="43">
        <f t="shared" si="121"/>
        <v>405.45037786252874</v>
      </c>
      <c r="AW86" s="43">
        <f t="shared" si="122"/>
        <v>377.2392350364474</v>
      </c>
      <c r="AX86" s="43">
        <f t="shared" si="123"/>
        <v>517.7758709766382</v>
      </c>
      <c r="AY86" s="43">
        <f t="shared" si="124"/>
        <v>557.9249524712015</v>
      </c>
      <c r="AZ86" s="43">
        <f t="shared" si="125"/>
        <v>489.9181811466258</v>
      </c>
      <c r="BA86" s="43">
        <f t="shared" si="126"/>
        <v>394.3165306226883</v>
      </c>
      <c r="BB86" s="43">
        <f t="shared" si="127"/>
        <v>427.5654422813456</v>
      </c>
      <c r="BC86" s="43">
        <f t="shared" si="128"/>
        <v>256.58509195719546</v>
      </c>
      <c r="BD86" s="43">
        <f t="shared" si="129"/>
        <v>227.8938459773922</v>
      </c>
      <c r="BE86" s="43">
        <f t="shared" si="130"/>
        <v>209.4643590906817</v>
      </c>
      <c r="BF86" s="43">
        <f t="shared" si="131"/>
        <v>226.51892984510786</v>
      </c>
      <c r="BG86" s="43">
        <f t="shared" si="132"/>
        <v>291.02024798054657</v>
      </c>
      <c r="BH86" s="43">
        <f t="shared" si="133"/>
        <v>362.3540942293206</v>
      </c>
      <c r="BI86" s="43">
        <f t="shared" si="134"/>
        <v>409.466309577945</v>
      </c>
      <c r="BJ86" s="43">
        <f t="shared" si="135"/>
        <v>414.14516904280407</v>
      </c>
      <c r="BK86" s="43">
        <f t="shared" si="136"/>
        <v>386.0483579162354</v>
      </c>
      <c r="BL86" s="43">
        <f t="shared" si="137"/>
        <v>386.17252256122725</v>
      </c>
      <c r="BM86" s="43">
        <f t="shared" si="138"/>
        <v>465.6304158681998</v>
      </c>
      <c r="BN86" s="43">
        <f t="shared" si="139"/>
        <v>537.0993462662676</v>
      </c>
      <c r="BO86" s="43"/>
      <c r="BP86" s="43">
        <f t="shared" si="140"/>
        <v>358.36129183112604</v>
      </c>
      <c r="BQ86" s="43">
        <f t="shared" si="141"/>
        <v>410.0668953337758</v>
      </c>
      <c r="BR86" s="43">
        <f t="shared" si="142"/>
        <v>377.2392350364474</v>
      </c>
      <c r="BS86" s="43">
        <f t="shared" si="143"/>
        <v>517.7758709766382</v>
      </c>
      <c r="BT86" s="43">
        <f t="shared" si="144"/>
        <v>225.58387676003565</v>
      </c>
      <c r="BU86" s="43">
        <f t="shared" si="145"/>
        <v>224.12205507629636</v>
      </c>
      <c r="BV86" s="43">
        <f t="shared" si="146"/>
        <v>229.7890439885554</v>
      </c>
      <c r="BW86" s="43">
        <f t="shared" si="147"/>
        <v>364.6833771253352</v>
      </c>
      <c r="BX86" s="43">
        <f t="shared" si="148"/>
        <v>402.89786543290415</v>
      </c>
      <c r="BY86" s="43">
        <f t="shared" si="149"/>
        <v>480.2302867628016</v>
      </c>
      <c r="BZ86" s="43"/>
      <c r="CA86" s="43">
        <f t="shared" si="150"/>
        <v>399.8520211164118</v>
      </c>
      <c r="CB86" s="43">
        <f t="shared" si="151"/>
        <v>258.0510417999641</v>
      </c>
      <c r="CC86" s="43">
        <f t="shared" si="152"/>
        <v>422.083962756727</v>
      </c>
      <c r="CD86" s="43">
        <f t="shared" si="153"/>
        <v>325.98833503333833</v>
      </c>
    </row>
    <row r="87" spans="1:82" ht="12.75">
      <c r="A87" s="150">
        <v>1994</v>
      </c>
      <c r="B87" s="43">
        <f t="shared" si="80"/>
        <v>444.7972146917387</v>
      </c>
      <c r="C87" s="43">
        <f t="shared" si="81"/>
        <v>413.03351823743134</v>
      </c>
      <c r="D87" s="43">
        <f t="shared" si="82"/>
        <v>439.20336800224175</v>
      </c>
      <c r="E87" s="43">
        <f t="shared" si="83"/>
        <v>432.9815434335741</v>
      </c>
      <c r="F87" s="43">
        <f t="shared" si="84"/>
        <v>465.5552714240026</v>
      </c>
      <c r="G87" s="43">
        <f t="shared" si="85"/>
        <v>439.6971293397292</v>
      </c>
      <c r="H87" s="43">
        <f t="shared" si="86"/>
        <v>605.7870561139979</v>
      </c>
      <c r="I87" s="43">
        <f t="shared" si="87"/>
        <v>659.9025473672683</v>
      </c>
      <c r="J87" s="43">
        <f t="shared" si="88"/>
        <v>564.2901776141292</v>
      </c>
      <c r="K87" s="43">
        <f t="shared" si="89"/>
        <v>443.7825181850327</v>
      </c>
      <c r="L87" s="43">
        <f t="shared" si="90"/>
        <v>473.02206338201216</v>
      </c>
      <c r="M87" s="43">
        <f t="shared" si="91"/>
        <v>327.6914645559354</v>
      </c>
      <c r="N87" s="43">
        <f t="shared" si="92"/>
        <v>331.7583418352129</v>
      </c>
      <c r="O87" s="43">
        <f t="shared" si="93"/>
        <v>239.24636107892428</v>
      </c>
      <c r="P87" s="43">
        <f t="shared" si="94"/>
        <v>256.0229825179413</v>
      </c>
      <c r="Q87" s="43">
        <f t="shared" si="95"/>
        <v>321.9464969138477</v>
      </c>
      <c r="R87" s="43">
        <f t="shared" si="96"/>
        <v>417.31558715910137</v>
      </c>
      <c r="S87" s="43">
        <f t="shared" si="97"/>
        <v>477.94730525998307</v>
      </c>
      <c r="T87" s="43">
        <f t="shared" si="98"/>
        <v>476.967925998129</v>
      </c>
      <c r="U87" s="43">
        <f t="shared" si="99"/>
        <v>439.2003211166507</v>
      </c>
      <c r="V87" s="43">
        <f t="shared" si="100"/>
        <v>492.73373034553083</v>
      </c>
      <c r="W87" s="43">
        <f t="shared" si="101"/>
        <v>538.1100674239958</v>
      </c>
      <c r="X87" s="43">
        <f t="shared" si="102"/>
        <v>600.5790227906389</v>
      </c>
      <c r="Z87" s="43">
        <f t="shared" si="103"/>
        <v>426.9441299306346</v>
      </c>
      <c r="AA87" s="43">
        <f t="shared" si="104"/>
        <v>467.88710404654756</v>
      </c>
      <c r="AB87" s="43">
        <f t="shared" si="105"/>
        <v>439.6971293397292</v>
      </c>
      <c r="AC87" s="43">
        <f t="shared" si="106"/>
        <v>605.7870561139979</v>
      </c>
      <c r="AD87" s="43">
        <f t="shared" si="107"/>
        <v>315.36953020547355</v>
      </c>
      <c r="AE87" s="43">
        <f t="shared" si="108"/>
        <v>357.1536496930847</v>
      </c>
      <c r="AF87" s="43">
        <f t="shared" si="109"/>
        <v>261.13798879813135</v>
      </c>
      <c r="AG87" s="43">
        <f t="shared" si="110"/>
        <v>420.0396122430426</v>
      </c>
      <c r="AH87" s="43">
        <f t="shared" si="111"/>
        <v>470.0912898309059</v>
      </c>
      <c r="AI87" s="43">
        <f t="shared" si="112"/>
        <v>549.0237504601035</v>
      </c>
      <c r="AK87" s="43">
        <f t="shared" si="113"/>
        <v>462.20333336329827</v>
      </c>
      <c r="AL87" s="43">
        <f t="shared" si="114"/>
        <v>329.22192059995825</v>
      </c>
      <c r="AM87" s="43">
        <f t="shared" si="115"/>
        <v>488.54987817633764</v>
      </c>
      <c r="AN87" s="43">
        <f t="shared" si="116"/>
        <v>385.3513225236087</v>
      </c>
      <c r="AO87" s="43"/>
      <c r="AP87" s="43"/>
      <c r="AQ87" s="43"/>
      <c r="AR87" s="43">
        <f t="shared" si="117"/>
        <v>401.37661062955453</v>
      </c>
      <c r="AS87" s="43">
        <f t="shared" si="118"/>
        <v>353.80216812960657</v>
      </c>
      <c r="AT87" s="43">
        <f t="shared" si="119"/>
        <v>376.732951893747</v>
      </c>
      <c r="AU87" s="43">
        <f t="shared" si="120"/>
        <v>362.00881769271655</v>
      </c>
      <c r="AV87" s="43">
        <f t="shared" si="121"/>
        <v>436.3123663785129</v>
      </c>
      <c r="AW87" s="43">
        <f t="shared" si="122"/>
        <v>419.6101247629428</v>
      </c>
      <c r="AX87" s="43">
        <f t="shared" si="123"/>
        <v>596.899373348093</v>
      </c>
      <c r="AY87" s="43">
        <f t="shared" si="124"/>
        <v>651.2031540651582</v>
      </c>
      <c r="AZ87" s="43">
        <f t="shared" si="125"/>
        <v>556.7835212846029</v>
      </c>
      <c r="BA87" s="43">
        <f t="shared" si="126"/>
        <v>428.12300266948773</v>
      </c>
      <c r="BB87" s="43">
        <f t="shared" si="127"/>
        <v>461.2141792498922</v>
      </c>
      <c r="BC87" s="43">
        <f t="shared" si="128"/>
        <v>261.5681835009849</v>
      </c>
      <c r="BD87" s="43">
        <f t="shared" si="129"/>
        <v>231.20426840104034</v>
      </c>
      <c r="BE87" s="43">
        <f t="shared" si="130"/>
        <v>209.08525823011638</v>
      </c>
      <c r="BF87" s="43">
        <f t="shared" si="131"/>
        <v>237.20763646141947</v>
      </c>
      <c r="BG87" s="43">
        <f t="shared" si="132"/>
        <v>299.9165616153232</v>
      </c>
      <c r="BH87" s="43">
        <f t="shared" si="133"/>
        <v>389.94205534540765</v>
      </c>
      <c r="BI87" s="43">
        <f t="shared" si="134"/>
        <v>438.1384631663016</v>
      </c>
      <c r="BJ87" s="43">
        <f t="shared" si="135"/>
        <v>428.2241306291692</v>
      </c>
      <c r="BK87" s="43">
        <f t="shared" si="136"/>
        <v>412.85690490057584</v>
      </c>
      <c r="BL87" s="43">
        <f t="shared" si="137"/>
        <v>416.6029282255632</v>
      </c>
      <c r="BM87" s="43">
        <f t="shared" si="138"/>
        <v>503.30243254696256</v>
      </c>
      <c r="BN87" s="43">
        <f t="shared" si="139"/>
        <v>572.348112742182</v>
      </c>
      <c r="BO87" s="43"/>
      <c r="BP87" s="43">
        <f t="shared" si="140"/>
        <v>374.90703337649325</v>
      </c>
      <c r="BQ87" s="43">
        <f t="shared" si="141"/>
        <v>443.3340249735366</v>
      </c>
      <c r="BR87" s="43">
        <f t="shared" si="142"/>
        <v>419.6101247629428</v>
      </c>
      <c r="BS87" s="43">
        <f t="shared" si="143"/>
        <v>596.899373348093</v>
      </c>
      <c r="BT87" s="43">
        <f t="shared" si="144"/>
        <v>226.2067014729716</v>
      </c>
      <c r="BU87" s="43">
        <f t="shared" si="145"/>
        <v>232.47900074983167</v>
      </c>
      <c r="BV87" s="43">
        <f t="shared" si="146"/>
        <v>237.59587231177335</v>
      </c>
      <c r="BW87" s="43">
        <f t="shared" si="147"/>
        <v>395.0828825972206</v>
      </c>
      <c r="BX87" s="43">
        <f t="shared" si="148"/>
        <v>425.4154935950226</v>
      </c>
      <c r="BY87" s="43">
        <f t="shared" si="149"/>
        <v>516.6150692634857</v>
      </c>
      <c r="BZ87" s="43"/>
      <c r="CA87" s="43">
        <f t="shared" si="150"/>
        <v>436.0269225688368</v>
      </c>
      <c r="CB87" s="43">
        <f t="shared" si="151"/>
        <v>264.0805345907714</v>
      </c>
      <c r="CC87" s="43">
        <f t="shared" si="152"/>
        <v>450.92292790572344</v>
      </c>
      <c r="CD87" s="43">
        <f t="shared" si="153"/>
        <v>344.96477988868793</v>
      </c>
    </row>
    <row r="88" spans="1:82" ht="12.75">
      <c r="A88" s="150">
        <v>1995</v>
      </c>
      <c r="B88" s="43">
        <f t="shared" si="80"/>
        <v>451.1700467852346</v>
      </c>
      <c r="C88" s="43">
        <f t="shared" si="81"/>
        <v>436.2316283959403</v>
      </c>
      <c r="D88" s="43">
        <f t="shared" si="82"/>
        <v>442.33976317348254</v>
      </c>
      <c r="E88" s="43">
        <f t="shared" si="83"/>
        <v>427.20717167588094</v>
      </c>
      <c r="F88" s="43">
        <f t="shared" si="84"/>
        <v>473.26668238434263</v>
      </c>
      <c r="G88" s="43">
        <f t="shared" si="85"/>
        <v>461.37912242402643</v>
      </c>
      <c r="H88" s="43">
        <f t="shared" si="86"/>
        <v>658.5446267800266</v>
      </c>
      <c r="I88" s="43">
        <f t="shared" si="87"/>
        <v>720.6721150810084</v>
      </c>
      <c r="J88" s="43">
        <f t="shared" si="88"/>
        <v>599.7274879102611</v>
      </c>
      <c r="K88" s="43">
        <f t="shared" si="89"/>
        <v>468.82618638600593</v>
      </c>
      <c r="L88" s="43">
        <f t="shared" si="90"/>
        <v>499.2092270417291</v>
      </c>
      <c r="M88" s="43">
        <f t="shared" si="91"/>
        <v>337.36606350975256</v>
      </c>
      <c r="N88" s="43">
        <f t="shared" si="92"/>
        <v>347.28609196980494</v>
      </c>
      <c r="O88" s="43">
        <f t="shared" si="93"/>
        <v>234.39789002384325</v>
      </c>
      <c r="P88" s="43">
        <f t="shared" si="94"/>
        <v>261.4320568764926</v>
      </c>
      <c r="Q88" s="43">
        <f t="shared" si="95"/>
        <v>322.8187465579364</v>
      </c>
      <c r="R88" s="43">
        <f t="shared" si="96"/>
        <v>421.80990910657</v>
      </c>
      <c r="S88" s="43">
        <f t="shared" si="97"/>
        <v>491.01170808088153</v>
      </c>
      <c r="T88" s="43">
        <f t="shared" si="98"/>
        <v>495.54992863991964</v>
      </c>
      <c r="U88" s="43">
        <f t="shared" si="99"/>
        <v>446.61700909928334</v>
      </c>
      <c r="V88" s="43">
        <f t="shared" si="100"/>
        <v>501.5997839958762</v>
      </c>
      <c r="W88" s="43">
        <f t="shared" si="101"/>
        <v>556.840871705924</v>
      </c>
      <c r="X88" s="43">
        <f t="shared" si="102"/>
        <v>618.4800613176435</v>
      </c>
      <c r="Z88" s="43">
        <f t="shared" si="103"/>
        <v>434.6763442901563</v>
      </c>
      <c r="AA88" s="43">
        <f t="shared" si="104"/>
        <v>478.5287283409823</v>
      </c>
      <c r="AB88" s="43">
        <f t="shared" si="105"/>
        <v>461.37912242402643</v>
      </c>
      <c r="AC88" s="43">
        <f t="shared" si="106"/>
        <v>658.5446267800266</v>
      </c>
      <c r="AD88" s="43">
        <f t="shared" si="107"/>
        <v>331.44788881612715</v>
      </c>
      <c r="AE88" s="43">
        <f t="shared" si="108"/>
        <v>373.48778613887816</v>
      </c>
      <c r="AF88" s="43">
        <f t="shared" si="109"/>
        <v>264.27099181873695</v>
      </c>
      <c r="AG88" s="43">
        <f t="shared" si="110"/>
        <v>425.20740159643</v>
      </c>
      <c r="AH88" s="43">
        <f t="shared" si="111"/>
        <v>481.5579916181063</v>
      </c>
      <c r="AI88" s="43">
        <f t="shared" si="112"/>
        <v>567.1395028374102</v>
      </c>
      <c r="AK88" s="43">
        <f t="shared" si="113"/>
        <v>480.99522672851657</v>
      </c>
      <c r="AL88" s="43">
        <f t="shared" si="114"/>
        <v>339.0978868519237</v>
      </c>
      <c r="AM88" s="43">
        <f t="shared" si="115"/>
        <v>502.0848105662983</v>
      </c>
      <c r="AN88" s="43">
        <f t="shared" si="116"/>
        <v>399.172872549092</v>
      </c>
      <c r="AO88" s="43"/>
      <c r="AP88" s="43"/>
      <c r="AQ88" s="43"/>
      <c r="AR88" s="43">
        <f t="shared" si="117"/>
        <v>382.50090731654336</v>
      </c>
      <c r="AS88" s="43">
        <f t="shared" si="118"/>
        <v>338.4772125480478</v>
      </c>
      <c r="AT88" s="43">
        <f t="shared" si="119"/>
        <v>354.1014108549753</v>
      </c>
      <c r="AU88" s="43">
        <f t="shared" si="120"/>
        <v>329.49477026606525</v>
      </c>
      <c r="AV88" s="43">
        <f t="shared" si="121"/>
        <v>424.2782215804913</v>
      </c>
      <c r="AW88" s="43">
        <f t="shared" si="122"/>
        <v>419.7188999138533</v>
      </c>
      <c r="AX88" s="43">
        <f t="shared" si="123"/>
        <v>638.1179926054789</v>
      </c>
      <c r="AY88" s="43">
        <f t="shared" si="124"/>
        <v>697.1072733905999</v>
      </c>
      <c r="AZ88" s="43">
        <f t="shared" si="125"/>
        <v>584.13780760247</v>
      </c>
      <c r="BA88" s="43">
        <f t="shared" si="126"/>
        <v>440.2222115631301</v>
      </c>
      <c r="BB88" s="43">
        <f t="shared" si="127"/>
        <v>479.8746906202892</v>
      </c>
      <c r="BC88" s="43">
        <f t="shared" si="128"/>
        <v>249.76254077425688</v>
      </c>
      <c r="BD88" s="43">
        <f t="shared" si="129"/>
        <v>222.35058210084532</v>
      </c>
      <c r="BE88" s="43">
        <f t="shared" si="130"/>
        <v>195.22385828635436</v>
      </c>
      <c r="BF88" s="43">
        <f t="shared" si="131"/>
        <v>235.16725515965865</v>
      </c>
      <c r="BG88" s="43">
        <f t="shared" si="132"/>
        <v>294.255786961055</v>
      </c>
      <c r="BH88" s="43">
        <f t="shared" si="133"/>
        <v>374.5868031288743</v>
      </c>
      <c r="BI88" s="43">
        <f t="shared" si="134"/>
        <v>428.6937864300479</v>
      </c>
      <c r="BJ88" s="43">
        <f t="shared" si="135"/>
        <v>430.2645096756981</v>
      </c>
      <c r="BK88" s="43">
        <f t="shared" si="136"/>
        <v>407.1833886584057</v>
      </c>
      <c r="BL88" s="43">
        <f t="shared" si="137"/>
        <v>395.3550244055316</v>
      </c>
      <c r="BM88" s="43">
        <f t="shared" si="138"/>
        <v>482.8008085041161</v>
      </c>
      <c r="BN88" s="43">
        <f t="shared" si="139"/>
        <v>571.501738964282</v>
      </c>
      <c r="BO88" s="43"/>
      <c r="BP88" s="43">
        <f t="shared" si="140"/>
        <v>356.719299621825</v>
      </c>
      <c r="BQ88" s="43">
        <f t="shared" si="141"/>
        <v>436.0824060218549</v>
      </c>
      <c r="BR88" s="43">
        <f t="shared" si="142"/>
        <v>419.7188999138533</v>
      </c>
      <c r="BS88" s="43">
        <f t="shared" si="143"/>
        <v>638.1179926054789</v>
      </c>
      <c r="BT88" s="43">
        <f t="shared" si="144"/>
        <v>221.2347034472154</v>
      </c>
      <c r="BU88" s="43">
        <f t="shared" si="145"/>
        <v>220.7828044195665</v>
      </c>
      <c r="BV88" s="43">
        <f t="shared" si="146"/>
        <v>232.60064659344894</v>
      </c>
      <c r="BW88" s="43">
        <f t="shared" si="147"/>
        <v>380.62620776341714</v>
      </c>
      <c r="BX88" s="43">
        <f t="shared" si="148"/>
        <v>417.88921926508317</v>
      </c>
      <c r="BY88" s="43">
        <f t="shared" si="149"/>
        <v>496.50021481529313</v>
      </c>
      <c r="BZ88" s="43"/>
      <c r="CA88" s="43">
        <f t="shared" si="150"/>
        <v>434.463898579964</v>
      </c>
      <c r="CB88" s="43">
        <f t="shared" si="151"/>
        <v>252.3400614869103</v>
      </c>
      <c r="CC88" s="43">
        <f t="shared" si="152"/>
        <v>442.3550217655196</v>
      </c>
      <c r="CD88" s="43">
        <f t="shared" si="153"/>
        <v>336.5321065157416</v>
      </c>
    </row>
    <row r="89" spans="1:82" ht="12.75">
      <c r="A89" s="150">
        <v>1996</v>
      </c>
      <c r="B89" s="43">
        <f t="shared" si="80"/>
        <v>492.722492275122</v>
      </c>
      <c r="C89" s="43">
        <f t="shared" si="81"/>
        <v>503.7664789607551</v>
      </c>
      <c r="D89" s="43">
        <f t="shared" si="82"/>
        <v>482.24464869660454</v>
      </c>
      <c r="E89" s="43">
        <f t="shared" si="83"/>
        <v>456.8679520017515</v>
      </c>
      <c r="F89" s="43">
        <f t="shared" si="84"/>
        <v>512.3255709881954</v>
      </c>
      <c r="G89" s="43">
        <f t="shared" si="85"/>
        <v>520.806829598292</v>
      </c>
      <c r="H89" s="43">
        <f t="shared" si="86"/>
        <v>763.444002816429</v>
      </c>
      <c r="I89" s="43">
        <f t="shared" si="87"/>
        <v>838.3831670649765</v>
      </c>
      <c r="J89" s="43">
        <f t="shared" si="88"/>
        <v>685.0516771792345</v>
      </c>
      <c r="K89" s="43">
        <f t="shared" si="89"/>
        <v>520.7474206975529</v>
      </c>
      <c r="L89" s="43">
        <f t="shared" si="90"/>
        <v>547.5297848058516</v>
      </c>
      <c r="M89" s="43">
        <f t="shared" si="91"/>
        <v>361.86271943029095</v>
      </c>
      <c r="N89" s="43">
        <f t="shared" si="92"/>
        <v>374.53183192893965</v>
      </c>
      <c r="O89" s="43">
        <f t="shared" si="93"/>
        <v>252.16405465841143</v>
      </c>
      <c r="P89" s="43">
        <f t="shared" si="94"/>
        <v>289.1090582986306</v>
      </c>
      <c r="Q89" s="43">
        <f t="shared" si="95"/>
        <v>341.9571527932476</v>
      </c>
      <c r="R89" s="43">
        <f t="shared" si="96"/>
        <v>437.4505361742598</v>
      </c>
      <c r="S89" s="43">
        <f t="shared" si="97"/>
        <v>543.6795879364693</v>
      </c>
      <c r="T89" s="43">
        <f t="shared" si="98"/>
        <v>555.0770213829113</v>
      </c>
      <c r="U89" s="43">
        <f t="shared" si="99"/>
        <v>498.5143075119282</v>
      </c>
      <c r="V89" s="43">
        <f t="shared" si="100"/>
        <v>554.1283667354708</v>
      </c>
      <c r="W89" s="43">
        <f t="shared" si="101"/>
        <v>610.9367373422367</v>
      </c>
      <c r="X89" s="43">
        <f t="shared" si="102"/>
        <v>670.2197530232446</v>
      </c>
      <c r="Z89" s="43">
        <f t="shared" si="103"/>
        <v>478.57148290378126</v>
      </c>
      <c r="AA89" s="43">
        <f t="shared" si="104"/>
        <v>520.4830168051853</v>
      </c>
      <c r="AB89" s="43">
        <f t="shared" si="105"/>
        <v>520.806829598292</v>
      </c>
      <c r="AC89" s="43">
        <f t="shared" si="106"/>
        <v>763.444002816429</v>
      </c>
      <c r="AD89" s="43">
        <f t="shared" si="107"/>
        <v>353.1324360596668</v>
      </c>
      <c r="AE89" s="43">
        <f t="shared" si="108"/>
        <v>406.9342523168511</v>
      </c>
      <c r="AF89" s="43">
        <f t="shared" si="109"/>
        <v>289.0029775777877</v>
      </c>
      <c r="AG89" s="43">
        <f t="shared" si="110"/>
        <v>443.22790387978745</v>
      </c>
      <c r="AH89" s="43">
        <f t="shared" si="111"/>
        <v>534.2872914937116</v>
      </c>
      <c r="AI89" s="43">
        <f t="shared" si="112"/>
        <v>620.5470865335593</v>
      </c>
      <c r="AK89" s="43">
        <f t="shared" si="113"/>
        <v>537.5664702302149</v>
      </c>
      <c r="AL89" s="43">
        <f t="shared" si="114"/>
        <v>364.69933648199105</v>
      </c>
      <c r="AM89" s="43">
        <f t="shared" si="115"/>
        <v>553.8762646136815</v>
      </c>
      <c r="AN89" s="43">
        <f t="shared" si="116"/>
        <v>439.21246637215023</v>
      </c>
      <c r="AO89" s="43"/>
      <c r="AP89" s="43"/>
      <c r="AQ89" s="43"/>
      <c r="AR89" s="43">
        <f t="shared" si="117"/>
        <v>436.6873152490694</v>
      </c>
      <c r="AS89" s="43">
        <f t="shared" si="118"/>
        <v>427.2461656724451</v>
      </c>
      <c r="AT89" s="43">
        <f t="shared" si="119"/>
        <v>408.11188851353666</v>
      </c>
      <c r="AU89" s="43">
        <f t="shared" si="120"/>
        <v>374.04192632959735</v>
      </c>
      <c r="AV89" s="43">
        <f t="shared" si="121"/>
        <v>471.59618378714896</v>
      </c>
      <c r="AW89" s="43">
        <f t="shared" si="122"/>
        <v>493.0484783614876</v>
      </c>
      <c r="AX89" s="43">
        <f t="shared" si="123"/>
        <v>748.3060488199679</v>
      </c>
      <c r="AY89" s="43">
        <f t="shared" si="124"/>
        <v>820.9013016552865</v>
      </c>
      <c r="AZ89" s="43">
        <f t="shared" si="125"/>
        <v>673.6941752588447</v>
      </c>
      <c r="BA89" s="43">
        <f t="shared" si="126"/>
        <v>498.5029706737728</v>
      </c>
      <c r="BB89" s="43">
        <f t="shared" si="127"/>
        <v>531.0771709505581</v>
      </c>
      <c r="BC89" s="43">
        <f t="shared" si="128"/>
        <v>278.4126470224522</v>
      </c>
      <c r="BD89" s="43">
        <f t="shared" si="129"/>
        <v>248.28978736249735</v>
      </c>
      <c r="BE89" s="43">
        <f t="shared" si="130"/>
        <v>220.99677046817874</v>
      </c>
      <c r="BF89" s="43">
        <f t="shared" si="131"/>
        <v>268.3520022189089</v>
      </c>
      <c r="BG89" s="43">
        <f t="shared" si="132"/>
        <v>317.2435097976295</v>
      </c>
      <c r="BH89" s="43">
        <f t="shared" si="133"/>
        <v>393.3629101962892</v>
      </c>
      <c r="BI89" s="43">
        <f t="shared" si="134"/>
        <v>493.48086360727746</v>
      </c>
      <c r="BJ89" s="43">
        <f t="shared" si="135"/>
        <v>502.5761551546177</v>
      </c>
      <c r="BK89" s="43">
        <f t="shared" si="136"/>
        <v>468.4864580042981</v>
      </c>
      <c r="BL89" s="43">
        <f t="shared" si="137"/>
        <v>461.43846363160617</v>
      </c>
      <c r="BM89" s="43">
        <f t="shared" si="138"/>
        <v>551.2357458106408</v>
      </c>
      <c r="BN89" s="43">
        <f t="shared" si="139"/>
        <v>629.3579716884151</v>
      </c>
      <c r="BO89" s="43"/>
      <c r="BP89" s="43">
        <f t="shared" si="140"/>
        <v>415.2136298008413</v>
      </c>
      <c r="BQ89" s="43">
        <f t="shared" si="141"/>
        <v>485.7453667846008</v>
      </c>
      <c r="BR89" s="43">
        <f t="shared" si="142"/>
        <v>493.0484783614876</v>
      </c>
      <c r="BS89" s="43">
        <f t="shared" si="143"/>
        <v>748.3060488199679</v>
      </c>
      <c r="BT89" s="43">
        <f t="shared" si="144"/>
        <v>239.48562869291132</v>
      </c>
      <c r="BU89" s="43">
        <f t="shared" si="145"/>
        <v>252.12651717477573</v>
      </c>
      <c r="BV89" s="43">
        <f t="shared" si="146"/>
        <v>263.4177452723799</v>
      </c>
      <c r="BW89" s="43">
        <f t="shared" si="147"/>
        <v>402.13246152037414</v>
      </c>
      <c r="BX89" s="43">
        <f t="shared" si="148"/>
        <v>482.1828617263139</v>
      </c>
      <c r="BY89" s="43">
        <f t="shared" si="149"/>
        <v>563.4216262607631</v>
      </c>
      <c r="BZ89" s="43"/>
      <c r="CA89" s="43">
        <f t="shared" si="150"/>
        <v>502.23063987968607</v>
      </c>
      <c r="CB89" s="43">
        <f t="shared" si="151"/>
        <v>282.51710721013905</v>
      </c>
      <c r="CC89" s="43">
        <f t="shared" si="152"/>
        <v>505.33050629878016</v>
      </c>
      <c r="CD89" s="43">
        <f t="shared" si="153"/>
        <v>386.0734659504091</v>
      </c>
    </row>
    <row r="90" spans="1:82" ht="12.75">
      <c r="A90" s="150">
        <v>1997</v>
      </c>
      <c r="B90" s="43">
        <f t="shared" si="80"/>
        <v>571.775430930484</v>
      </c>
      <c r="C90" s="43">
        <f t="shared" si="81"/>
        <v>632.2083924893218</v>
      </c>
      <c r="D90" s="43">
        <f t="shared" si="82"/>
        <v>558.0376898472335</v>
      </c>
      <c r="E90" s="43">
        <f t="shared" si="83"/>
        <v>509.1805660494225</v>
      </c>
      <c r="F90" s="43">
        <f t="shared" si="84"/>
        <v>590.0339864794288</v>
      </c>
      <c r="G90" s="43">
        <f t="shared" si="85"/>
        <v>612.5415362410033</v>
      </c>
      <c r="H90" s="43">
        <f t="shared" si="86"/>
        <v>959.4325224766521</v>
      </c>
      <c r="I90" s="43">
        <f t="shared" si="87"/>
        <v>1065.2836065910253</v>
      </c>
      <c r="J90" s="43">
        <f t="shared" si="88"/>
        <v>843.7569141796705</v>
      </c>
      <c r="K90" s="43">
        <f t="shared" si="89"/>
        <v>601.7882172961889</v>
      </c>
      <c r="L90" s="43">
        <f t="shared" si="90"/>
        <v>632.3570960354032</v>
      </c>
      <c r="M90" s="43">
        <f t="shared" si="91"/>
        <v>413.46944548539443</v>
      </c>
      <c r="N90" s="43">
        <f t="shared" si="92"/>
        <v>435.6540411319645</v>
      </c>
      <c r="O90" s="43">
        <f t="shared" si="93"/>
        <v>287.8045691141548</v>
      </c>
      <c r="P90" s="43">
        <f t="shared" si="94"/>
        <v>334.9639521736365</v>
      </c>
      <c r="Q90" s="43">
        <f t="shared" si="95"/>
        <v>379.19697064673784</v>
      </c>
      <c r="R90" s="43">
        <f t="shared" si="96"/>
        <v>471.613542012164</v>
      </c>
      <c r="S90" s="43">
        <f t="shared" si="97"/>
        <v>636.3293313477341</v>
      </c>
      <c r="T90" s="43">
        <f t="shared" si="98"/>
        <v>668.6807498102021</v>
      </c>
      <c r="U90" s="43">
        <f t="shared" si="99"/>
        <v>587.9145233752572</v>
      </c>
      <c r="V90" s="43">
        <f t="shared" si="100"/>
        <v>652.9588787406789</v>
      </c>
      <c r="W90" s="43">
        <f t="shared" si="101"/>
        <v>699.4617760514955</v>
      </c>
      <c r="X90" s="43">
        <f t="shared" si="102"/>
        <v>760.8236114016179</v>
      </c>
      <c r="Z90" s="43">
        <f t="shared" si="103"/>
        <v>558.7402462910774</v>
      </c>
      <c r="AA90" s="43">
        <f t="shared" si="104"/>
        <v>599.8224811337719</v>
      </c>
      <c r="AB90" s="43">
        <f t="shared" si="105"/>
        <v>612.5415362410033</v>
      </c>
      <c r="AC90" s="43">
        <f t="shared" si="106"/>
        <v>959.4325224766521</v>
      </c>
      <c r="AD90" s="43">
        <f t="shared" si="107"/>
        <v>406.6389215184531</v>
      </c>
      <c r="AE90" s="43">
        <f t="shared" si="108"/>
        <v>477.07103913409486</v>
      </c>
      <c r="AF90" s="43">
        <f t="shared" si="109"/>
        <v>334.223764784446</v>
      </c>
      <c r="AG90" s="43">
        <f t="shared" si="110"/>
        <v>480.5276594852102</v>
      </c>
      <c r="AH90" s="43">
        <f t="shared" si="111"/>
        <v>631.434185127014</v>
      </c>
      <c r="AI90" s="43">
        <f t="shared" si="112"/>
        <v>707.0499851927472</v>
      </c>
      <c r="AK90" s="43">
        <f t="shared" si="113"/>
        <v>636.7894141723675</v>
      </c>
      <c r="AL90" s="43">
        <f t="shared" si="114"/>
        <v>417.71775781259606</v>
      </c>
      <c r="AM90" s="43">
        <f t="shared" si="115"/>
        <v>644.5752753482186</v>
      </c>
      <c r="AN90" s="43">
        <f t="shared" si="116"/>
        <v>512.8439328483829</v>
      </c>
      <c r="AO90" s="43"/>
      <c r="AP90" s="43"/>
      <c r="AQ90" s="43"/>
      <c r="AR90" s="43">
        <f t="shared" si="117"/>
        <v>525.7695674467101</v>
      </c>
      <c r="AS90" s="43">
        <f t="shared" si="118"/>
        <v>582.7819352980471</v>
      </c>
      <c r="AT90" s="43">
        <f t="shared" si="119"/>
        <v>492.7508523268798</v>
      </c>
      <c r="AU90" s="43">
        <f t="shared" si="120"/>
        <v>430.2677549057135</v>
      </c>
      <c r="AV90" s="43">
        <f t="shared" si="121"/>
        <v>557.460333677578</v>
      </c>
      <c r="AW90" s="43">
        <f t="shared" si="122"/>
        <v>593.3716135013956</v>
      </c>
      <c r="AX90" s="43">
        <f t="shared" si="123"/>
        <v>953.9259522563921</v>
      </c>
      <c r="AY90" s="43">
        <f t="shared" si="124"/>
        <v>1060.6855017463215</v>
      </c>
      <c r="AZ90" s="43">
        <f t="shared" si="125"/>
        <v>838.1363711385072</v>
      </c>
      <c r="BA90" s="43">
        <f t="shared" si="126"/>
        <v>584.9959120560285</v>
      </c>
      <c r="BB90" s="43">
        <f t="shared" si="127"/>
        <v>620.7364815740658</v>
      </c>
      <c r="BC90" s="43">
        <f t="shared" si="128"/>
        <v>337.15997324636913</v>
      </c>
      <c r="BD90" s="43">
        <f t="shared" si="129"/>
        <v>314.20970118870247</v>
      </c>
      <c r="BE90" s="43">
        <f t="shared" si="130"/>
        <v>260.709899303316</v>
      </c>
      <c r="BF90" s="43">
        <f t="shared" si="131"/>
        <v>316.8011254313845</v>
      </c>
      <c r="BG90" s="43">
        <f t="shared" si="132"/>
        <v>357.0325888288831</v>
      </c>
      <c r="BH90" s="43">
        <f t="shared" si="133"/>
        <v>432.0824428366601</v>
      </c>
      <c r="BI90" s="43">
        <f t="shared" si="134"/>
        <v>594.6770778455805</v>
      </c>
      <c r="BJ90" s="43">
        <f t="shared" si="135"/>
        <v>630.5302245002657</v>
      </c>
      <c r="BK90" s="43">
        <f t="shared" si="136"/>
        <v>562.7323437224289</v>
      </c>
      <c r="BL90" s="43">
        <f t="shared" si="137"/>
        <v>568.1936278025559</v>
      </c>
      <c r="BM90" s="43">
        <f t="shared" si="138"/>
        <v>649.9417046934835</v>
      </c>
      <c r="BN90" s="43">
        <f t="shared" si="139"/>
        <v>725.0247397837761</v>
      </c>
      <c r="BO90" s="43"/>
      <c r="BP90" s="43">
        <f t="shared" si="140"/>
        <v>505.76819120926024</v>
      </c>
      <c r="BQ90" s="43">
        <f t="shared" si="141"/>
        <v>572.4883402423134</v>
      </c>
      <c r="BR90" s="43">
        <f t="shared" si="142"/>
        <v>593.3716135013956</v>
      </c>
      <c r="BS90" s="43">
        <f t="shared" si="143"/>
        <v>953.9259522563921</v>
      </c>
      <c r="BT90" s="43">
        <f t="shared" si="144"/>
        <v>300.1475628506241</v>
      </c>
      <c r="BU90" s="43">
        <f t="shared" si="145"/>
        <v>320.5542813660221</v>
      </c>
      <c r="BV90" s="43">
        <f t="shared" si="146"/>
        <v>312.53397512965466</v>
      </c>
      <c r="BW90" s="43">
        <f t="shared" si="147"/>
        <v>443.86112972895666</v>
      </c>
      <c r="BX90" s="43">
        <f t="shared" si="148"/>
        <v>588.0326018173394</v>
      </c>
      <c r="BY90" s="43">
        <f t="shared" si="149"/>
        <v>658.880237640681</v>
      </c>
      <c r="BZ90" s="43"/>
      <c r="CA90" s="43">
        <f t="shared" si="150"/>
        <v>611.6979852636282</v>
      </c>
      <c r="CB90" s="43">
        <f t="shared" si="151"/>
        <v>342.71761742825845</v>
      </c>
      <c r="CC90" s="43">
        <f t="shared" si="152"/>
        <v>603.9951859965478</v>
      </c>
      <c r="CD90" s="43">
        <f t="shared" si="153"/>
        <v>469.7199087323727</v>
      </c>
    </row>
    <row r="91" spans="1:82" ht="12.75">
      <c r="A91" s="150">
        <v>1998</v>
      </c>
      <c r="B91" s="43">
        <f t="shared" si="80"/>
        <v>629.3651097541472</v>
      </c>
      <c r="C91" s="43">
        <f t="shared" si="81"/>
        <v>707.224786262802</v>
      </c>
      <c r="D91" s="43">
        <f t="shared" si="82"/>
        <v>621.6114640178519</v>
      </c>
      <c r="E91" s="43">
        <f t="shared" si="83"/>
        <v>547.9572629749729</v>
      </c>
      <c r="F91" s="43">
        <f t="shared" si="84"/>
        <v>650.1714304493852</v>
      </c>
      <c r="G91" s="43">
        <f t="shared" si="85"/>
        <v>695.956340071538</v>
      </c>
      <c r="H91" s="43">
        <f t="shared" si="86"/>
        <v>1060.1447300205398</v>
      </c>
      <c r="I91" s="43">
        <f t="shared" si="87"/>
        <v>1180.5596501140108</v>
      </c>
      <c r="J91" s="43">
        <f t="shared" si="88"/>
        <v>928.8919024447077</v>
      </c>
      <c r="K91" s="43">
        <f t="shared" si="89"/>
        <v>682.6520647036428</v>
      </c>
      <c r="L91" s="43">
        <f t="shared" si="90"/>
        <v>705.032948547108</v>
      </c>
      <c r="M91" s="43">
        <f t="shared" si="91"/>
        <v>460.61108161852263</v>
      </c>
      <c r="N91" s="43">
        <f t="shared" si="92"/>
        <v>485.23016405065863</v>
      </c>
      <c r="O91" s="43">
        <f t="shared" si="93"/>
        <v>328.11516779524914</v>
      </c>
      <c r="P91" s="43">
        <f t="shared" si="94"/>
        <v>378.1864611954996</v>
      </c>
      <c r="Q91" s="43">
        <f t="shared" si="95"/>
        <v>420.6069483080325</v>
      </c>
      <c r="R91" s="43">
        <f t="shared" si="96"/>
        <v>516.3213739224162</v>
      </c>
      <c r="S91" s="43">
        <f t="shared" si="97"/>
        <v>727.0920382586518</v>
      </c>
      <c r="T91" s="43">
        <f t="shared" si="98"/>
        <v>779.3559061493131</v>
      </c>
      <c r="U91" s="43">
        <f t="shared" si="99"/>
        <v>680.2413256235357</v>
      </c>
      <c r="V91" s="43">
        <f t="shared" si="100"/>
        <v>748.4081464514397</v>
      </c>
      <c r="W91" s="43">
        <f t="shared" si="101"/>
        <v>783.7745488058547</v>
      </c>
      <c r="X91" s="43">
        <f t="shared" si="102"/>
        <v>828.8738055114906</v>
      </c>
      <c r="Z91" s="43">
        <f t="shared" si="103"/>
        <v>616.2562967559853</v>
      </c>
      <c r="AA91" s="43">
        <f t="shared" si="104"/>
        <v>663.5502607483409</v>
      </c>
      <c r="AB91" s="43">
        <f t="shared" si="105"/>
        <v>695.956340071538</v>
      </c>
      <c r="AC91" s="43">
        <f t="shared" si="106"/>
        <v>1060.1447300205398</v>
      </c>
      <c r="AD91" s="43">
        <f t="shared" si="107"/>
        <v>445.12009793126384</v>
      </c>
      <c r="AE91" s="43">
        <f t="shared" si="108"/>
        <v>538.4444154487475</v>
      </c>
      <c r="AF91" s="43">
        <f t="shared" si="109"/>
        <v>378.3637281506099</v>
      </c>
      <c r="AG91" s="43">
        <f t="shared" si="110"/>
        <v>527.1106354816637</v>
      </c>
      <c r="AH91" s="43">
        <f t="shared" si="111"/>
        <v>727.0401402444433</v>
      </c>
      <c r="AI91" s="43">
        <f t="shared" si="112"/>
        <v>781.7592905981626</v>
      </c>
      <c r="AK91" s="43">
        <f t="shared" si="113"/>
        <v>710.3549569972203</v>
      </c>
      <c r="AL91" s="43">
        <f t="shared" si="114"/>
        <v>466.1947808140393</v>
      </c>
      <c r="AM91" s="43">
        <f t="shared" si="115"/>
        <v>729.6199570599148</v>
      </c>
      <c r="AN91" s="43">
        <f t="shared" si="116"/>
        <v>573.1523279756213</v>
      </c>
      <c r="AO91" s="43"/>
      <c r="AP91" s="43"/>
      <c r="AQ91" s="43"/>
      <c r="AR91" s="43">
        <f t="shared" si="117"/>
        <v>558.7147583388262</v>
      </c>
      <c r="AS91" s="43">
        <f t="shared" si="118"/>
        <v>565.4137494765087</v>
      </c>
      <c r="AT91" s="43">
        <f t="shared" si="119"/>
        <v>532.9029134842817</v>
      </c>
      <c r="AU91" s="43">
        <f t="shared" si="120"/>
        <v>449.923517632154</v>
      </c>
      <c r="AV91" s="43">
        <f t="shared" si="121"/>
        <v>602.086137500453</v>
      </c>
      <c r="AW91" s="43">
        <f t="shared" si="122"/>
        <v>660.4824477959021</v>
      </c>
      <c r="AX91" s="43">
        <f t="shared" si="123"/>
        <v>1027.220779895121</v>
      </c>
      <c r="AY91" s="43">
        <f t="shared" si="124"/>
        <v>1141.0114109316437</v>
      </c>
      <c r="AZ91" s="43">
        <f t="shared" si="125"/>
        <v>907.475608635179</v>
      </c>
      <c r="BA91" s="43">
        <f t="shared" si="126"/>
        <v>658.6497420735182</v>
      </c>
      <c r="BB91" s="43">
        <f t="shared" si="127"/>
        <v>686.140903856814</v>
      </c>
      <c r="BC91" s="43">
        <f t="shared" si="128"/>
        <v>366.1802369960831</v>
      </c>
      <c r="BD91" s="43">
        <f t="shared" si="129"/>
        <v>331.22837757275215</v>
      </c>
      <c r="BE91" s="43">
        <f t="shared" si="130"/>
        <v>297.0308202020187</v>
      </c>
      <c r="BF91" s="43">
        <f t="shared" si="131"/>
        <v>353.783599342336</v>
      </c>
      <c r="BG91" s="43">
        <f t="shared" si="132"/>
        <v>396.0580646087966</v>
      </c>
      <c r="BH91" s="43">
        <f t="shared" si="133"/>
        <v>476.6209346100941</v>
      </c>
      <c r="BI91" s="43">
        <f t="shared" si="134"/>
        <v>670.4338109457274</v>
      </c>
      <c r="BJ91" s="43">
        <f t="shared" si="135"/>
        <v>720.3105232951042</v>
      </c>
      <c r="BK91" s="43">
        <f t="shared" si="136"/>
        <v>646.7653298534123</v>
      </c>
      <c r="BL91" s="43">
        <f t="shared" si="137"/>
        <v>638.0933699223157</v>
      </c>
      <c r="BM91" s="43">
        <f t="shared" si="138"/>
        <v>716.9581681706943</v>
      </c>
      <c r="BN91" s="43">
        <f t="shared" si="139"/>
        <v>779.0464837157913</v>
      </c>
      <c r="BO91" s="43"/>
      <c r="BP91" s="43">
        <f t="shared" si="140"/>
        <v>533.0040149318125</v>
      </c>
      <c r="BQ91" s="43">
        <f t="shared" si="141"/>
        <v>622.6373938679062</v>
      </c>
      <c r="BR91" s="43">
        <f t="shared" si="142"/>
        <v>660.4824477959021</v>
      </c>
      <c r="BS91" s="43">
        <f t="shared" si="143"/>
        <v>1027.220779895121</v>
      </c>
      <c r="BT91" s="43">
        <f t="shared" si="144"/>
        <v>308.3658884337044</v>
      </c>
      <c r="BU91" s="43">
        <f t="shared" si="145"/>
        <v>345.03268037580773</v>
      </c>
      <c r="BV91" s="43">
        <f t="shared" si="146"/>
        <v>350.1725300635859</v>
      </c>
      <c r="BW91" s="43">
        <f t="shared" si="147"/>
        <v>489.5543049374972</v>
      </c>
      <c r="BX91" s="43">
        <f t="shared" si="148"/>
        <v>667.7457314567105</v>
      </c>
      <c r="BY91" s="43">
        <f t="shared" si="149"/>
        <v>713.7422577276886</v>
      </c>
      <c r="BZ91" s="43"/>
      <c r="CA91" s="43">
        <f t="shared" si="150"/>
        <v>661.3072193557425</v>
      </c>
      <c r="CB91" s="43">
        <f t="shared" si="151"/>
        <v>372.75258164575956</v>
      </c>
      <c r="CC91" s="43">
        <f t="shared" si="152"/>
        <v>673.6992512916358</v>
      </c>
      <c r="CD91" s="43">
        <f t="shared" si="153"/>
        <v>507.8451782326553</v>
      </c>
    </row>
    <row r="92" spans="1:82" ht="12.75">
      <c r="A92" s="150">
        <v>1999</v>
      </c>
      <c r="B92" s="43">
        <f t="shared" si="80"/>
        <v>706.5168387175349</v>
      </c>
      <c r="C92" s="43">
        <f t="shared" si="81"/>
        <v>778.9800959669403</v>
      </c>
      <c r="D92" s="43">
        <f t="shared" si="82"/>
        <v>720.5407420328537</v>
      </c>
      <c r="E92" s="43">
        <f t="shared" si="83"/>
        <v>612.7929362233292</v>
      </c>
      <c r="F92" s="43">
        <f t="shared" si="84"/>
        <v>733.098910906056</v>
      </c>
      <c r="G92" s="43">
        <f t="shared" si="85"/>
        <v>802.405506919572</v>
      </c>
      <c r="H92" s="43">
        <f t="shared" si="86"/>
        <v>1213.5363289059007</v>
      </c>
      <c r="I92" s="43">
        <f t="shared" si="87"/>
        <v>1350.245148359813</v>
      </c>
      <c r="J92" s="43">
        <f t="shared" si="88"/>
        <v>1067.737090670728</v>
      </c>
      <c r="K92" s="43">
        <f t="shared" si="89"/>
        <v>775.2732728645361</v>
      </c>
      <c r="L92" s="43">
        <f t="shared" si="90"/>
        <v>808.452469187112</v>
      </c>
      <c r="M92" s="43">
        <f t="shared" si="91"/>
        <v>525.7913266784129</v>
      </c>
      <c r="N92" s="43">
        <f t="shared" si="92"/>
        <v>552.7507662695866</v>
      </c>
      <c r="O92" s="43">
        <f t="shared" si="93"/>
        <v>384.52902575130645</v>
      </c>
      <c r="P92" s="43">
        <f t="shared" si="94"/>
        <v>432.39597327378533</v>
      </c>
      <c r="Q92" s="43">
        <f t="shared" si="95"/>
        <v>484.5313811616149</v>
      </c>
      <c r="R92" s="43">
        <f t="shared" si="96"/>
        <v>585.6985475578982</v>
      </c>
      <c r="S92" s="43">
        <f t="shared" si="97"/>
        <v>862.3687480331389</v>
      </c>
      <c r="T92" s="43">
        <f t="shared" si="98"/>
        <v>950.1310221148315</v>
      </c>
      <c r="U92" s="43">
        <f t="shared" si="99"/>
        <v>820.0783988837007</v>
      </c>
      <c r="V92" s="43">
        <f t="shared" si="100"/>
        <v>882.7774947469604</v>
      </c>
      <c r="W92" s="43">
        <f t="shared" si="101"/>
        <v>909.2012844541617</v>
      </c>
      <c r="X92" s="43">
        <f t="shared" si="102"/>
        <v>939.2202832663854</v>
      </c>
      <c r="Z92" s="43">
        <f t="shared" si="103"/>
        <v>690.6253671409415</v>
      </c>
      <c r="AA92" s="43">
        <f t="shared" si="104"/>
        <v>749.264564745586</v>
      </c>
      <c r="AB92" s="43">
        <f t="shared" si="105"/>
        <v>802.405506919572</v>
      </c>
      <c r="AC92" s="43">
        <f t="shared" si="106"/>
        <v>1213.5363289059007</v>
      </c>
      <c r="AD92" s="43">
        <f t="shared" si="107"/>
        <v>495.4679437923377</v>
      </c>
      <c r="AE92" s="43">
        <f t="shared" si="108"/>
        <v>623.9418504001924</v>
      </c>
      <c r="AF92" s="43">
        <f t="shared" si="109"/>
        <v>437.2530912001728</v>
      </c>
      <c r="AG92" s="43">
        <f t="shared" si="110"/>
        <v>597.5462158364094</v>
      </c>
      <c r="AH92" s="43">
        <f t="shared" si="111"/>
        <v>868.7966818929683</v>
      </c>
      <c r="AI92" s="43">
        <f t="shared" si="112"/>
        <v>897.0373592379095</v>
      </c>
      <c r="AK92" s="43">
        <f t="shared" si="113"/>
        <v>809.3105280687438</v>
      </c>
      <c r="AL92" s="43">
        <f t="shared" si="114"/>
        <v>532.6303342487248</v>
      </c>
      <c r="AM92" s="43">
        <f t="shared" si="115"/>
        <v>857.6363751318063</v>
      </c>
      <c r="AN92" s="43">
        <f t="shared" si="116"/>
        <v>656.2328212640684</v>
      </c>
      <c r="AO92" s="43"/>
      <c r="AP92" s="43"/>
      <c r="AQ92" s="43"/>
      <c r="AR92" s="43">
        <f t="shared" si="117"/>
        <v>634.9914652070352</v>
      </c>
      <c r="AS92" s="43">
        <f t="shared" si="118"/>
        <v>612.1902092814549</v>
      </c>
      <c r="AT92" s="43">
        <f t="shared" si="119"/>
        <v>635.7932042728299</v>
      </c>
      <c r="AU92" s="43">
        <f t="shared" si="120"/>
        <v>518.2355533444605</v>
      </c>
      <c r="AV92" s="43">
        <f t="shared" si="121"/>
        <v>685.6620389607299</v>
      </c>
      <c r="AW92" s="43">
        <f t="shared" si="122"/>
        <v>767.9043422632441</v>
      </c>
      <c r="AX92" s="43">
        <f t="shared" si="123"/>
        <v>1183.4134762187034</v>
      </c>
      <c r="AY92" s="43">
        <f t="shared" si="124"/>
        <v>1313.1175163613327</v>
      </c>
      <c r="AZ92" s="43">
        <f t="shared" si="125"/>
        <v>1049.2442635888833</v>
      </c>
      <c r="BA92" s="43">
        <f t="shared" si="126"/>
        <v>748.357074912303</v>
      </c>
      <c r="BB92" s="43">
        <f t="shared" si="127"/>
        <v>791.998886394578</v>
      </c>
      <c r="BC92" s="43">
        <f t="shared" si="128"/>
        <v>427.83394078886926</v>
      </c>
      <c r="BD92" s="43">
        <f t="shared" si="129"/>
        <v>387.4574560703927</v>
      </c>
      <c r="BE92" s="43">
        <f t="shared" si="130"/>
        <v>353.64085353542293</v>
      </c>
      <c r="BF92" s="43">
        <f t="shared" si="131"/>
        <v>406.59998663327906</v>
      </c>
      <c r="BG92" s="43">
        <f t="shared" si="132"/>
        <v>461.89220757171586</v>
      </c>
      <c r="BH92" s="43">
        <f t="shared" si="133"/>
        <v>550.0148312450758</v>
      </c>
      <c r="BI92" s="43">
        <f t="shared" si="134"/>
        <v>811.1427477747999</v>
      </c>
      <c r="BJ92" s="43">
        <f t="shared" si="135"/>
        <v>900.9561645907285</v>
      </c>
      <c r="BK92" s="43">
        <f t="shared" si="136"/>
        <v>790.577476930224</v>
      </c>
      <c r="BL92" s="43">
        <f t="shared" si="137"/>
        <v>767.9793747384457</v>
      </c>
      <c r="BM92" s="43">
        <f t="shared" si="138"/>
        <v>851.9471877705141</v>
      </c>
      <c r="BN92" s="43">
        <f t="shared" si="139"/>
        <v>893.8695638856441</v>
      </c>
      <c r="BO92" s="43"/>
      <c r="BP92" s="43">
        <f t="shared" si="140"/>
        <v>604.513807277274</v>
      </c>
      <c r="BQ92" s="43">
        <f t="shared" si="141"/>
        <v>708.8303858038091</v>
      </c>
      <c r="BR92" s="43">
        <f t="shared" si="142"/>
        <v>767.9043422632441</v>
      </c>
      <c r="BS92" s="43">
        <f t="shared" si="143"/>
        <v>1183.4134762187034</v>
      </c>
      <c r="BT92" s="43">
        <f t="shared" si="144"/>
        <v>349.98159168547073</v>
      </c>
      <c r="BU92" s="43">
        <f t="shared" si="145"/>
        <v>412.258601519403</v>
      </c>
      <c r="BV92" s="43">
        <f t="shared" si="146"/>
        <v>408.61054325002806</v>
      </c>
      <c r="BW92" s="43">
        <f t="shared" si="147"/>
        <v>563.40343813567</v>
      </c>
      <c r="BX92" s="43">
        <f t="shared" si="148"/>
        <v>813.1034979249212</v>
      </c>
      <c r="BY92" s="43">
        <f t="shared" si="149"/>
        <v>838.7973240383701</v>
      </c>
      <c r="BZ92" s="43"/>
      <c r="CA92" s="43">
        <f t="shared" si="150"/>
        <v>761.2696662677697</v>
      </c>
      <c r="CB92" s="43">
        <f t="shared" si="151"/>
        <v>435.42709954805946</v>
      </c>
      <c r="CC92" s="43">
        <f t="shared" si="152"/>
        <v>807.1406230380262</v>
      </c>
      <c r="CD92" s="43">
        <f t="shared" si="153"/>
        <v>591.572155374147</v>
      </c>
    </row>
    <row r="93" spans="1:82" ht="12.75">
      <c r="A93" s="150">
        <v>2000</v>
      </c>
      <c r="B93" s="43">
        <f t="shared" si="80"/>
        <v>734.09127246079</v>
      </c>
      <c r="C93" s="43">
        <f t="shared" si="81"/>
        <v>852.213806443013</v>
      </c>
      <c r="D93" s="43">
        <f t="shared" si="82"/>
        <v>755.2564670380708</v>
      </c>
      <c r="E93" s="43">
        <f t="shared" si="83"/>
        <v>622.4572936205074</v>
      </c>
      <c r="F93" s="43">
        <f t="shared" si="84"/>
        <v>749.4592593710731</v>
      </c>
      <c r="G93" s="43">
        <f t="shared" si="85"/>
        <v>852.2034346034062</v>
      </c>
      <c r="H93" s="43">
        <f t="shared" si="86"/>
        <v>1351.548174983382</v>
      </c>
      <c r="I93" s="43">
        <f t="shared" si="87"/>
        <v>1507.9015272009976</v>
      </c>
      <c r="J93" s="43">
        <f t="shared" si="88"/>
        <v>1182.086607943528</v>
      </c>
      <c r="K93" s="43">
        <f t="shared" si="89"/>
        <v>821.4559916197674</v>
      </c>
      <c r="L93" s="43">
        <f t="shared" si="90"/>
        <v>866.0174379578642</v>
      </c>
      <c r="M93" s="43">
        <f t="shared" si="91"/>
        <v>608.4191181911295</v>
      </c>
      <c r="N93" s="43">
        <f t="shared" si="92"/>
        <v>653.3430591940808</v>
      </c>
      <c r="O93" s="43">
        <f t="shared" si="93"/>
        <v>442.67873551830144</v>
      </c>
      <c r="P93" s="43">
        <f t="shared" si="94"/>
        <v>484.4049500955322</v>
      </c>
      <c r="Q93" s="43">
        <f t="shared" si="95"/>
        <v>546.6315878938838</v>
      </c>
      <c r="R93" s="43">
        <f t="shared" si="96"/>
        <v>647.219327305849</v>
      </c>
      <c r="S93" s="43">
        <f t="shared" si="97"/>
        <v>983.2182585656345</v>
      </c>
      <c r="T93" s="43">
        <f t="shared" si="98"/>
        <v>1116.5475157823685</v>
      </c>
      <c r="U93" s="43">
        <f t="shared" si="99"/>
        <v>942.951237435485</v>
      </c>
      <c r="V93" s="43">
        <f t="shared" si="100"/>
        <v>1011.7306297361142</v>
      </c>
      <c r="W93" s="43">
        <f t="shared" si="101"/>
        <v>1012.0776825505355</v>
      </c>
      <c r="X93" s="43">
        <f t="shared" si="102"/>
        <v>1052.2255771524872</v>
      </c>
      <c r="Z93" s="43">
        <f t="shared" si="103"/>
        <v>731.5711639079937</v>
      </c>
      <c r="AA93" s="43">
        <f t="shared" si="104"/>
        <v>770.4624581055422</v>
      </c>
      <c r="AB93" s="43">
        <f t="shared" si="105"/>
        <v>852.2034346034062</v>
      </c>
      <c r="AC93" s="43">
        <f t="shared" si="106"/>
        <v>1351.548174983382</v>
      </c>
      <c r="AD93" s="43">
        <f t="shared" si="107"/>
        <v>572.0364697965292</v>
      </c>
      <c r="AE93" s="43">
        <f t="shared" si="108"/>
        <v>745.6782713131834</v>
      </c>
      <c r="AF93" s="43">
        <f t="shared" si="109"/>
        <v>499.87805303298984</v>
      </c>
      <c r="AG93" s="43">
        <f t="shared" si="110"/>
        <v>659.1409809917185</v>
      </c>
      <c r="AH93" s="43">
        <f t="shared" si="111"/>
        <v>1003.0604342330395</v>
      </c>
      <c r="AI93" s="43">
        <f t="shared" si="112"/>
        <v>996.3179557126604</v>
      </c>
      <c r="AK93" s="43">
        <f t="shared" si="113"/>
        <v>863.6877787254715</v>
      </c>
      <c r="AL93" s="43">
        <f t="shared" si="114"/>
        <v>614.5537798552538</v>
      </c>
      <c r="AM93" s="43">
        <f t="shared" si="115"/>
        <v>974.6676338459047</v>
      </c>
      <c r="AN93" s="43">
        <f t="shared" si="116"/>
        <v>724.8373034741958</v>
      </c>
      <c r="AO93" s="43"/>
      <c r="AP93" s="43"/>
      <c r="AQ93" s="43"/>
      <c r="AR93" s="43">
        <f t="shared" si="117"/>
        <v>625.9599990508412</v>
      </c>
      <c r="AS93" s="43">
        <f t="shared" si="118"/>
        <v>664.777379251121</v>
      </c>
      <c r="AT93" s="43">
        <f t="shared" si="119"/>
        <v>613.501153200705</v>
      </c>
      <c r="AU93" s="43">
        <f t="shared" si="120"/>
        <v>484.1769341623245</v>
      </c>
      <c r="AV93" s="43">
        <f t="shared" si="121"/>
        <v>669.2493323766168</v>
      </c>
      <c r="AW93" s="43">
        <f t="shared" si="122"/>
        <v>775.2538853108201</v>
      </c>
      <c r="AX93" s="43">
        <f t="shared" si="123"/>
        <v>1311.2057729403266</v>
      </c>
      <c r="AY93" s="43">
        <f t="shared" si="124"/>
        <v>1459.3563477760388</v>
      </c>
      <c r="AZ93" s="43">
        <f t="shared" si="125"/>
        <v>1155.4350230933444</v>
      </c>
      <c r="BA93" s="43">
        <f t="shared" si="126"/>
        <v>770.2417224348857</v>
      </c>
      <c r="BB93" s="43">
        <f t="shared" si="127"/>
        <v>834.0997755453582</v>
      </c>
      <c r="BC93" s="43">
        <f t="shared" si="128"/>
        <v>501.60585231192334</v>
      </c>
      <c r="BD93" s="43">
        <f t="shared" si="129"/>
        <v>478.00317893830066</v>
      </c>
      <c r="BE93" s="43">
        <f t="shared" si="130"/>
        <v>402.83303957569683</v>
      </c>
      <c r="BF93" s="43">
        <f t="shared" si="131"/>
        <v>451.6065449039174</v>
      </c>
      <c r="BG93" s="43">
        <f t="shared" si="132"/>
        <v>517.4284159389543</v>
      </c>
      <c r="BH93" s="43">
        <f t="shared" si="133"/>
        <v>599.7889907468018</v>
      </c>
      <c r="BI93" s="43">
        <f t="shared" si="134"/>
        <v>904.375559036387</v>
      </c>
      <c r="BJ93" s="43">
        <f t="shared" si="135"/>
        <v>1035.3597765386116</v>
      </c>
      <c r="BK93" s="43">
        <f t="shared" si="136"/>
        <v>893.7875549199175</v>
      </c>
      <c r="BL93" s="43">
        <f t="shared" si="137"/>
        <v>861.6646949382339</v>
      </c>
      <c r="BM93" s="43">
        <f t="shared" si="138"/>
        <v>919.7732031067351</v>
      </c>
      <c r="BN93" s="43">
        <f t="shared" si="139"/>
        <v>997.6803469206947</v>
      </c>
      <c r="BO93" s="43"/>
      <c r="BP93" s="43">
        <f t="shared" si="140"/>
        <v>612.1441801803046</v>
      </c>
      <c r="BQ93" s="43">
        <f t="shared" si="141"/>
        <v>700.0172850084236</v>
      </c>
      <c r="BR93" s="43">
        <f t="shared" si="142"/>
        <v>775.2538853108201</v>
      </c>
      <c r="BS93" s="43">
        <f t="shared" si="143"/>
        <v>1311.2057729403266</v>
      </c>
      <c r="BT93" s="43">
        <f t="shared" si="144"/>
        <v>421.2071583894316</v>
      </c>
      <c r="BU93" s="43">
        <f t="shared" si="145"/>
        <v>510.6060913930639</v>
      </c>
      <c r="BV93" s="43">
        <f t="shared" si="146"/>
        <v>464.7136097966494</v>
      </c>
      <c r="BW93" s="43">
        <f t="shared" si="147"/>
        <v>613.3984793087272</v>
      </c>
      <c r="BX93" s="43">
        <f t="shared" si="148"/>
        <v>921.6235904803223</v>
      </c>
      <c r="BY93" s="43">
        <f t="shared" si="149"/>
        <v>911.1466699454497</v>
      </c>
      <c r="BZ93" s="43"/>
      <c r="CA93" s="43">
        <f t="shared" si="150"/>
        <v>785.0502123501444</v>
      </c>
      <c r="CB93" s="43">
        <f t="shared" si="151"/>
        <v>507.1689209689473</v>
      </c>
      <c r="CC93" s="43">
        <f t="shared" si="152"/>
        <v>900.9223328034503</v>
      </c>
      <c r="CD93" s="43">
        <f t="shared" si="153"/>
        <v>636.0158179257388</v>
      </c>
    </row>
    <row r="94" spans="1:82" ht="12.75">
      <c r="A94" s="150">
        <v>2001</v>
      </c>
      <c r="B94" s="43">
        <f t="shared" si="80"/>
        <v>760.9556362130016</v>
      </c>
      <c r="C94" s="43">
        <f t="shared" si="81"/>
        <v>907.3957582881465</v>
      </c>
      <c r="D94" s="43">
        <f t="shared" si="82"/>
        <v>800.2994340526944</v>
      </c>
      <c r="E94" s="43">
        <f t="shared" si="83"/>
        <v>637.6159338463182</v>
      </c>
      <c r="F94" s="43">
        <f t="shared" si="84"/>
        <v>767.2574178626174</v>
      </c>
      <c r="G94" s="43">
        <f t="shared" si="85"/>
        <v>896.685300736996</v>
      </c>
      <c r="H94" s="43">
        <f t="shared" si="86"/>
        <v>1459.7266315283218</v>
      </c>
      <c r="I94" s="43">
        <f t="shared" si="87"/>
        <v>1649.2953423444972</v>
      </c>
      <c r="J94" s="43">
        <f t="shared" si="88"/>
        <v>1248.50438997539</v>
      </c>
      <c r="K94" s="43">
        <f t="shared" si="89"/>
        <v>874.7916505348539</v>
      </c>
      <c r="L94" s="43">
        <f t="shared" si="90"/>
        <v>948.4073925458864</v>
      </c>
      <c r="M94" s="43">
        <f t="shared" si="91"/>
        <v>658.5011379050324</v>
      </c>
      <c r="N94" s="43">
        <f t="shared" si="92"/>
        <v>716.0242042844076</v>
      </c>
      <c r="O94" s="43">
        <f t="shared" si="93"/>
        <v>464.9837676254943</v>
      </c>
      <c r="P94" s="43">
        <f t="shared" si="94"/>
        <v>500.5777297238767</v>
      </c>
      <c r="Q94" s="43">
        <f t="shared" si="95"/>
        <v>593.3852609222415</v>
      </c>
      <c r="R94" s="43">
        <f t="shared" si="96"/>
        <v>707.5547957675512</v>
      </c>
      <c r="S94" s="43">
        <f t="shared" si="97"/>
        <v>1064.624502536357</v>
      </c>
      <c r="T94" s="43">
        <f t="shared" si="98"/>
        <v>1203.6136579680458</v>
      </c>
      <c r="U94" s="43">
        <f t="shared" si="99"/>
        <v>1014.4950223124378</v>
      </c>
      <c r="V94" s="43">
        <f t="shared" si="100"/>
        <v>1097.6441643136677</v>
      </c>
      <c r="W94" s="43">
        <f t="shared" si="101"/>
        <v>1101.3734988975057</v>
      </c>
      <c r="X94" s="43">
        <f t="shared" si="102"/>
        <v>1140.1068260209165</v>
      </c>
      <c r="Z94" s="43">
        <f t="shared" si="103"/>
        <v>770.2523307855812</v>
      </c>
      <c r="AA94" s="43">
        <f t="shared" si="104"/>
        <v>793.9345968917274</v>
      </c>
      <c r="AB94" s="43">
        <f t="shared" si="105"/>
        <v>896.685300736996</v>
      </c>
      <c r="AC94" s="43">
        <f t="shared" si="106"/>
        <v>1459.7266315283218</v>
      </c>
      <c r="AD94" s="43">
        <f t="shared" si="107"/>
        <v>630.9741309270764</v>
      </c>
      <c r="AE94" s="43">
        <f t="shared" si="108"/>
        <v>811.5222592127545</v>
      </c>
      <c r="AF94" s="43">
        <f t="shared" si="109"/>
        <v>524.9075470020153</v>
      </c>
      <c r="AG94" s="43">
        <f t="shared" si="110"/>
        <v>713.2794595513752</v>
      </c>
      <c r="AH94" s="43">
        <f t="shared" si="111"/>
        <v>1083.0964317892754</v>
      </c>
      <c r="AI94" s="43">
        <f t="shared" si="112"/>
        <v>1083.4643928219132</v>
      </c>
      <c r="AK94" s="43">
        <f t="shared" si="113"/>
        <v>912.1311625464045</v>
      </c>
      <c r="AL94" s="43">
        <f t="shared" si="114"/>
        <v>661.7886291964405</v>
      </c>
      <c r="AM94" s="43">
        <f t="shared" si="115"/>
        <v>1055.5031560603654</v>
      </c>
      <c r="AN94" s="43">
        <f t="shared" si="116"/>
        <v>774.0543362499366</v>
      </c>
      <c r="AO94" s="43"/>
      <c r="AP94" s="43"/>
      <c r="AQ94" s="43"/>
      <c r="AR94" s="43">
        <f t="shared" si="117"/>
        <v>647.8965490207767</v>
      </c>
      <c r="AS94" s="43">
        <f t="shared" si="118"/>
        <v>686.6359824951837</v>
      </c>
      <c r="AT94" s="43">
        <f t="shared" si="119"/>
        <v>655.3635378150487</v>
      </c>
      <c r="AU94" s="43">
        <f t="shared" si="120"/>
        <v>499.269894135532</v>
      </c>
      <c r="AV94" s="43">
        <f t="shared" si="121"/>
        <v>685.5637062155696</v>
      </c>
      <c r="AW94" s="43">
        <f t="shared" si="122"/>
        <v>811.3029118318764</v>
      </c>
      <c r="AX94" s="43">
        <f t="shared" si="123"/>
        <v>1407.9654885094124</v>
      </c>
      <c r="AY94" s="43">
        <f t="shared" si="124"/>
        <v>1589.488142572502</v>
      </c>
      <c r="AZ94" s="43">
        <f t="shared" si="125"/>
        <v>1212.1824503692112</v>
      </c>
      <c r="BA94" s="43">
        <f t="shared" si="126"/>
        <v>821.8967231659984</v>
      </c>
      <c r="BB94" s="43">
        <f t="shared" si="127"/>
        <v>918.2256417907946</v>
      </c>
      <c r="BC94" s="43">
        <f t="shared" si="128"/>
        <v>506.220736913462</v>
      </c>
      <c r="BD94" s="43">
        <f t="shared" si="129"/>
        <v>474.21109387556044</v>
      </c>
      <c r="BE94" s="43">
        <f t="shared" si="130"/>
        <v>399.3560901462215</v>
      </c>
      <c r="BF94" s="43">
        <f t="shared" si="131"/>
        <v>450.363045502851</v>
      </c>
      <c r="BG94" s="43">
        <f t="shared" si="132"/>
        <v>554.3395416021477</v>
      </c>
      <c r="BH94" s="43">
        <f t="shared" si="133"/>
        <v>652.1890598226796</v>
      </c>
      <c r="BI94" s="43">
        <f t="shared" si="134"/>
        <v>950.7961352693279</v>
      </c>
      <c r="BJ94" s="43">
        <f t="shared" si="135"/>
        <v>1056.6702786443238</v>
      </c>
      <c r="BK94" s="43">
        <f t="shared" si="136"/>
        <v>938.7359171121986</v>
      </c>
      <c r="BL94" s="43">
        <f t="shared" si="137"/>
        <v>896.9022737444517</v>
      </c>
      <c r="BM94" s="43">
        <f t="shared" si="138"/>
        <v>984.527274527523</v>
      </c>
      <c r="BN94" s="43">
        <f t="shared" si="139"/>
        <v>1069.0209461096626</v>
      </c>
      <c r="BO94" s="43"/>
      <c r="BP94" s="43">
        <f t="shared" si="140"/>
        <v>641.5262628328582</v>
      </c>
      <c r="BQ94" s="43">
        <f t="shared" si="141"/>
        <v>721.9574799722384</v>
      </c>
      <c r="BR94" s="43">
        <f t="shared" si="142"/>
        <v>811.3029118318764</v>
      </c>
      <c r="BS94" s="43">
        <f t="shared" si="143"/>
        <v>1407.9654885094124</v>
      </c>
      <c r="BT94" s="43">
        <f t="shared" si="144"/>
        <v>438.9572724555512</v>
      </c>
      <c r="BU94" s="43">
        <f t="shared" si="145"/>
        <v>490.45609746373106</v>
      </c>
      <c r="BV94" s="43">
        <f t="shared" si="146"/>
        <v>467.3408439750647</v>
      </c>
      <c r="BW94" s="43">
        <f t="shared" si="147"/>
        <v>657.7478603712599</v>
      </c>
      <c r="BX94" s="43">
        <f t="shared" si="148"/>
        <v>959.2568194070806</v>
      </c>
      <c r="BY94" s="43">
        <f t="shared" si="149"/>
        <v>976.8037902043241</v>
      </c>
      <c r="BZ94" s="43"/>
      <c r="CA94" s="43">
        <f t="shared" si="150"/>
        <v>824.7384153214297</v>
      </c>
      <c r="CB94" s="43">
        <f t="shared" si="151"/>
        <v>508.3340427763342</v>
      </c>
      <c r="CC94" s="43">
        <f t="shared" si="152"/>
        <v>950.5819876016285</v>
      </c>
      <c r="CD94" s="43">
        <f t="shared" si="153"/>
        <v>662.2381807884316</v>
      </c>
    </row>
    <row r="95" spans="1:82" ht="12.75">
      <c r="A95" s="150">
        <v>2002</v>
      </c>
      <c r="B95" s="43">
        <f t="shared" si="80"/>
        <v>855.0936862556028</v>
      </c>
      <c r="C95" s="43">
        <f t="shared" si="81"/>
        <v>997.5133143246545</v>
      </c>
      <c r="D95" s="43">
        <f t="shared" si="82"/>
        <v>922.9475631596852</v>
      </c>
      <c r="E95" s="43">
        <f t="shared" si="83"/>
        <v>730.2939199236276</v>
      </c>
      <c r="F95" s="43">
        <f t="shared" si="84"/>
        <v>862.639637570143</v>
      </c>
      <c r="G95" s="43">
        <f t="shared" si="85"/>
        <v>1007.9649329122882</v>
      </c>
      <c r="H95" s="43">
        <f t="shared" si="86"/>
        <v>1712.148107613399</v>
      </c>
      <c r="I95" s="43">
        <f t="shared" si="87"/>
        <v>1929.5774174701924</v>
      </c>
      <c r="J95" s="43">
        <f t="shared" si="88"/>
        <v>1471.5810367046818</v>
      </c>
      <c r="K95" s="43">
        <f t="shared" si="89"/>
        <v>1040.9894671367085</v>
      </c>
      <c r="L95" s="43">
        <f t="shared" si="90"/>
        <v>1099.408170390819</v>
      </c>
      <c r="M95" s="43">
        <f t="shared" si="91"/>
        <v>679.3220219839965</v>
      </c>
      <c r="N95" s="43">
        <f t="shared" si="92"/>
        <v>721.8463402942849</v>
      </c>
      <c r="O95" s="43">
        <f t="shared" si="93"/>
        <v>485.6101685671007</v>
      </c>
      <c r="P95" s="43">
        <f t="shared" si="94"/>
        <v>518.3668606206201</v>
      </c>
      <c r="Q95" s="43">
        <f t="shared" si="95"/>
        <v>640.4679484968516</v>
      </c>
      <c r="R95" s="43">
        <f t="shared" si="96"/>
        <v>792.4599561500659</v>
      </c>
      <c r="S95" s="43">
        <f t="shared" si="97"/>
        <v>1177.8708465826046</v>
      </c>
      <c r="T95" s="43">
        <f t="shared" si="98"/>
        <v>1340.417951030449</v>
      </c>
      <c r="U95" s="43">
        <f t="shared" si="99"/>
        <v>1110.3595265468473</v>
      </c>
      <c r="V95" s="43">
        <f t="shared" si="100"/>
        <v>1215.365293527728</v>
      </c>
      <c r="W95" s="43">
        <f t="shared" si="101"/>
        <v>1220.39794168721</v>
      </c>
      <c r="X95" s="43">
        <f t="shared" si="102"/>
        <v>1267.4330442654716</v>
      </c>
      <c r="Z95" s="43">
        <f t="shared" si="103"/>
        <v>868.7181536934205</v>
      </c>
      <c r="AA95" s="43">
        <f t="shared" si="104"/>
        <v>898.2869785033854</v>
      </c>
      <c r="AB95" s="43">
        <f t="shared" si="105"/>
        <v>1007.9649329122882</v>
      </c>
      <c r="AC95" s="43">
        <f t="shared" si="106"/>
        <v>1712.148107613399</v>
      </c>
      <c r="AD95" s="43">
        <f t="shared" si="107"/>
        <v>625.8790148198402</v>
      </c>
      <c r="AE95" s="43">
        <f t="shared" si="108"/>
        <v>826.8261082814405</v>
      </c>
      <c r="AF95" s="43">
        <f t="shared" si="109"/>
        <v>545.3008875828547</v>
      </c>
      <c r="AG95" s="43">
        <f t="shared" si="110"/>
        <v>790.4309043260739</v>
      </c>
      <c r="AH95" s="43">
        <f t="shared" si="111"/>
        <v>1197.7160864701639</v>
      </c>
      <c r="AI95" s="43">
        <f t="shared" si="112"/>
        <v>1202.3053765594168</v>
      </c>
      <c r="AK95" s="43">
        <f t="shared" si="113"/>
        <v>1040.0696894379996</v>
      </c>
      <c r="AL95" s="43">
        <f t="shared" si="114"/>
        <v>683.6336100575859</v>
      </c>
      <c r="AM95" s="43">
        <f t="shared" si="115"/>
        <v>1168.781338023498</v>
      </c>
      <c r="AN95" s="43">
        <f t="shared" si="116"/>
        <v>848.6549839875287</v>
      </c>
      <c r="AO95" s="43"/>
      <c r="AP95" s="43"/>
      <c r="AQ95" s="43"/>
      <c r="AR95" s="43">
        <f t="shared" si="117"/>
        <v>764.0183076688268</v>
      </c>
      <c r="AS95" s="43">
        <f t="shared" si="118"/>
        <v>780.6774483613654</v>
      </c>
      <c r="AT95" s="43">
        <f t="shared" si="119"/>
        <v>801.8211152914632</v>
      </c>
      <c r="AU95" s="43">
        <f t="shared" si="120"/>
        <v>619.8437531603377</v>
      </c>
      <c r="AV95" s="43">
        <f t="shared" si="121"/>
        <v>801.0949626342724</v>
      </c>
      <c r="AW95" s="43">
        <f t="shared" si="122"/>
        <v>945.6753424528288</v>
      </c>
      <c r="AX95" s="43">
        <f t="shared" si="123"/>
        <v>1675.6839607117156</v>
      </c>
      <c r="AY95" s="43">
        <f t="shared" si="124"/>
        <v>1883.8181650307276</v>
      </c>
      <c r="AZ95" s="43">
        <f t="shared" si="125"/>
        <v>1449.3994738910344</v>
      </c>
      <c r="BA95" s="43">
        <f t="shared" si="126"/>
        <v>1019.0002220350792</v>
      </c>
      <c r="BB95" s="43">
        <f t="shared" si="127"/>
        <v>1078.4877671277304</v>
      </c>
      <c r="BC95" s="43">
        <f t="shared" si="128"/>
        <v>497.15288247887236</v>
      </c>
      <c r="BD95" s="43">
        <f t="shared" si="129"/>
        <v>427.8008880428445</v>
      </c>
      <c r="BE95" s="43">
        <f t="shared" si="130"/>
        <v>415.6625407635444</v>
      </c>
      <c r="BF95" s="43">
        <f t="shared" si="131"/>
        <v>466.77046442541376</v>
      </c>
      <c r="BG95" s="43">
        <f t="shared" si="132"/>
        <v>597.1826794285555</v>
      </c>
      <c r="BH95" s="43">
        <f t="shared" si="133"/>
        <v>739.1087111968791</v>
      </c>
      <c r="BI95" s="43">
        <f t="shared" si="134"/>
        <v>1064.2356624252147</v>
      </c>
      <c r="BJ95" s="43">
        <f t="shared" si="135"/>
        <v>1199.0435418373954</v>
      </c>
      <c r="BK95" s="43">
        <f t="shared" si="136"/>
        <v>1033.488555173692</v>
      </c>
      <c r="BL95" s="43">
        <f t="shared" si="137"/>
        <v>1007.5111329880212</v>
      </c>
      <c r="BM95" s="43">
        <f t="shared" si="138"/>
        <v>1104.8975130381564</v>
      </c>
      <c r="BN95" s="43">
        <f t="shared" si="139"/>
        <v>1198.235579519658</v>
      </c>
      <c r="BO95" s="43"/>
      <c r="BP95" s="43">
        <f t="shared" si="140"/>
        <v>760.0913944145824</v>
      </c>
      <c r="BQ95" s="43">
        <f t="shared" si="141"/>
        <v>846.2767856423509</v>
      </c>
      <c r="BR95" s="43">
        <f t="shared" si="142"/>
        <v>945.6753424528288</v>
      </c>
      <c r="BS95" s="43">
        <f t="shared" si="143"/>
        <v>1675.6839607117156</v>
      </c>
      <c r="BT95" s="43">
        <f t="shared" si="144"/>
        <v>377.7564128675107</v>
      </c>
      <c r="BU95" s="43">
        <f t="shared" si="145"/>
        <v>458.9643183512433</v>
      </c>
      <c r="BV95" s="43">
        <f t="shared" si="146"/>
        <v>482.9973828511522</v>
      </c>
      <c r="BW95" s="43">
        <f t="shared" si="147"/>
        <v>736.9312597639939</v>
      </c>
      <c r="BX95" s="43">
        <f t="shared" si="148"/>
        <v>1073.78698795238</v>
      </c>
      <c r="BY95" s="43">
        <f t="shared" si="149"/>
        <v>1098.3547256231598</v>
      </c>
      <c r="BZ95" s="43"/>
      <c r="CA95" s="43">
        <f t="shared" si="150"/>
        <v>975.0279820619285</v>
      </c>
      <c r="CB95" s="43">
        <f t="shared" si="151"/>
        <v>503.51359240306186</v>
      </c>
      <c r="CC95" s="43">
        <f t="shared" si="152"/>
        <v>1064.6467145817162</v>
      </c>
      <c r="CD95" s="43">
        <f t="shared" si="153"/>
        <v>739.7888495208783</v>
      </c>
    </row>
    <row r="96" spans="1:82" ht="12.75">
      <c r="A96" s="150">
        <v>2003</v>
      </c>
      <c r="B96" s="43">
        <f t="shared" si="80"/>
        <v>975.6877198469676</v>
      </c>
      <c r="C96" s="43">
        <f t="shared" si="81"/>
        <v>1103.7147663502062</v>
      </c>
      <c r="D96" s="43">
        <f t="shared" si="82"/>
        <v>1079.675503933983</v>
      </c>
      <c r="E96" s="43">
        <f t="shared" si="83"/>
        <v>845.2419638314307</v>
      </c>
      <c r="F96" s="43">
        <f t="shared" si="84"/>
        <v>991.0671839485282</v>
      </c>
      <c r="G96" s="43">
        <f t="shared" si="85"/>
        <v>1164.3039226807425</v>
      </c>
      <c r="H96" s="43">
        <f t="shared" si="86"/>
        <v>1992.5347893753026</v>
      </c>
      <c r="I96" s="43">
        <f t="shared" si="87"/>
        <v>2251.8726109750796</v>
      </c>
      <c r="J96" s="43">
        <f t="shared" si="88"/>
        <v>1696.9439600411615</v>
      </c>
      <c r="K96" s="43">
        <f t="shared" si="89"/>
        <v>1233.9260385800392</v>
      </c>
      <c r="L96" s="43">
        <f t="shared" si="90"/>
        <v>1292.161248219687</v>
      </c>
      <c r="M96" s="43">
        <f t="shared" si="91"/>
        <v>702.5091167637696</v>
      </c>
      <c r="N96" s="43">
        <f t="shared" si="92"/>
        <v>729.6770015784314</v>
      </c>
      <c r="O96" s="43">
        <f t="shared" si="93"/>
        <v>505.24110531447633</v>
      </c>
      <c r="P96" s="43">
        <f t="shared" si="94"/>
        <v>535.148469366352</v>
      </c>
      <c r="Q96" s="43">
        <f t="shared" si="95"/>
        <v>682.7223730713674</v>
      </c>
      <c r="R96" s="43">
        <f t="shared" si="96"/>
        <v>881.1328176654469</v>
      </c>
      <c r="S96" s="43">
        <f t="shared" si="97"/>
        <v>1312.3773367597666</v>
      </c>
      <c r="T96" s="43">
        <f t="shared" si="98"/>
        <v>1500.1997920471317</v>
      </c>
      <c r="U96" s="43">
        <f t="shared" si="99"/>
        <v>1219.2072936825662</v>
      </c>
      <c r="V96" s="43">
        <f t="shared" si="100"/>
        <v>1343.1944982242699</v>
      </c>
      <c r="W96" s="43">
        <f t="shared" si="101"/>
        <v>1372.253155929497</v>
      </c>
      <c r="X96" s="43">
        <f t="shared" si="102"/>
        <v>1402.2723307488734</v>
      </c>
      <c r="Z96" s="43">
        <f t="shared" si="103"/>
        <v>986.9125576841479</v>
      </c>
      <c r="AA96" s="43">
        <f t="shared" si="104"/>
        <v>1037.0914501948007</v>
      </c>
      <c r="AB96" s="43">
        <f t="shared" si="105"/>
        <v>1164.3039226807425</v>
      </c>
      <c r="AC96" s="43">
        <f t="shared" si="106"/>
        <v>1992.5347893753026</v>
      </c>
      <c r="AD96" s="43">
        <f t="shared" si="107"/>
        <v>622.4292322780548</v>
      </c>
      <c r="AE96" s="43">
        <f t="shared" si="108"/>
        <v>844.4966224545774</v>
      </c>
      <c r="AF96" s="43">
        <f t="shared" si="109"/>
        <v>559.9920569155794</v>
      </c>
      <c r="AG96" s="43">
        <f t="shared" si="110"/>
        <v>870.0919536396834</v>
      </c>
      <c r="AH96" s="43">
        <f t="shared" si="111"/>
        <v>1325.464963339506</v>
      </c>
      <c r="AI96" s="43">
        <f t="shared" si="112"/>
        <v>1347.9608255523851</v>
      </c>
      <c r="AK96" s="43">
        <f t="shared" si="113"/>
        <v>1200.806115515537</v>
      </c>
      <c r="AL96" s="43">
        <f t="shared" si="114"/>
        <v>705.406178360783</v>
      </c>
      <c r="AM96" s="43">
        <f t="shared" si="115"/>
        <v>1300.0590916665649</v>
      </c>
      <c r="AN96" s="43">
        <f t="shared" si="116"/>
        <v>940.7673170255479</v>
      </c>
      <c r="AO96" s="43"/>
      <c r="AP96" s="43"/>
      <c r="AQ96" s="43"/>
      <c r="AR96" s="43">
        <f t="shared" si="117"/>
        <v>880.2012105877133</v>
      </c>
      <c r="AS96" s="43">
        <f t="shared" si="118"/>
        <v>869.8742336936449</v>
      </c>
      <c r="AT96" s="43">
        <f t="shared" si="119"/>
        <v>947.9404192704051</v>
      </c>
      <c r="AU96" s="43">
        <f t="shared" si="120"/>
        <v>723.3416784013235</v>
      </c>
      <c r="AV96" s="43">
        <f t="shared" si="121"/>
        <v>929.0085037684527</v>
      </c>
      <c r="AW96" s="43">
        <f t="shared" si="122"/>
        <v>1109.2840470704139</v>
      </c>
      <c r="AX96" s="43">
        <f t="shared" si="123"/>
        <v>1947.2529848122863</v>
      </c>
      <c r="AY96" s="43">
        <f t="shared" si="124"/>
        <v>2197.373403337158</v>
      </c>
      <c r="AZ96" s="43">
        <f t="shared" si="125"/>
        <v>1666.2237093997728</v>
      </c>
      <c r="BA96" s="43">
        <f t="shared" si="126"/>
        <v>1205.9749176541097</v>
      </c>
      <c r="BB96" s="43">
        <f t="shared" si="127"/>
        <v>1271.7265769605015</v>
      </c>
      <c r="BC96" s="43">
        <f t="shared" si="128"/>
        <v>515.343223443874</v>
      </c>
      <c r="BD96" s="43">
        <f t="shared" si="129"/>
        <v>433.84480418515005</v>
      </c>
      <c r="BE96" s="43">
        <f t="shared" si="130"/>
        <v>431.5087392504447</v>
      </c>
      <c r="BF96" s="43">
        <f t="shared" si="131"/>
        <v>481.2675997715438</v>
      </c>
      <c r="BG96" s="43">
        <f t="shared" si="132"/>
        <v>633.9227877489891</v>
      </c>
      <c r="BH96" s="43">
        <f t="shared" si="133"/>
        <v>818.8426062567037</v>
      </c>
      <c r="BI96" s="43">
        <f t="shared" si="134"/>
        <v>1190.3341015948736</v>
      </c>
      <c r="BJ96" s="43">
        <f t="shared" si="135"/>
        <v>1345.897845016808</v>
      </c>
      <c r="BK96" s="43">
        <f t="shared" si="136"/>
        <v>1136.0642522030892</v>
      </c>
      <c r="BL96" s="43">
        <f t="shared" si="137"/>
        <v>1111.976607533874</v>
      </c>
      <c r="BM96" s="43">
        <f t="shared" si="138"/>
        <v>1255.314091440659</v>
      </c>
      <c r="BN96" s="43">
        <f t="shared" si="139"/>
        <v>1323.64326903809</v>
      </c>
      <c r="BO96" s="43"/>
      <c r="BP96" s="43">
        <f t="shared" si="140"/>
        <v>868.2559630124596</v>
      </c>
      <c r="BQ96" s="43">
        <f t="shared" si="141"/>
        <v>984.9307815216114</v>
      </c>
      <c r="BR96" s="43">
        <f t="shared" si="142"/>
        <v>1109.2840470704139</v>
      </c>
      <c r="BS96" s="43">
        <f t="shared" si="143"/>
        <v>1947.2529848122863</v>
      </c>
      <c r="BT96" s="43">
        <f t="shared" si="144"/>
        <v>376.81888190161294</v>
      </c>
      <c r="BU96" s="43">
        <f t="shared" si="145"/>
        <v>470.1529111459028</v>
      </c>
      <c r="BV96" s="43">
        <f t="shared" si="146"/>
        <v>493.26707414961015</v>
      </c>
      <c r="BW96" s="43">
        <f t="shared" si="147"/>
        <v>808.6461363545203</v>
      </c>
      <c r="BX96" s="43">
        <f t="shared" si="148"/>
        <v>1188.7845656489085</v>
      </c>
      <c r="BY96" s="43">
        <f t="shared" si="149"/>
        <v>1239.7745952571497</v>
      </c>
      <c r="BZ96" s="43"/>
      <c r="CA96" s="43">
        <f t="shared" si="150"/>
        <v>1132.654172291348</v>
      </c>
      <c r="CB96" s="43">
        <f t="shared" si="151"/>
        <v>518.983335617223</v>
      </c>
      <c r="CC96" s="43">
        <f t="shared" si="152"/>
        <v>1186.993863687617</v>
      </c>
      <c r="CD96" s="43">
        <f t="shared" si="153"/>
        <v>826.6344377871011</v>
      </c>
    </row>
    <row r="97" spans="1:82" ht="12.75">
      <c r="A97" s="150">
        <v>2004</v>
      </c>
      <c r="B97" s="43">
        <f t="shared" si="80"/>
        <v>1181.5188012258839</v>
      </c>
      <c r="C97" s="43">
        <f t="shared" si="81"/>
        <v>1301.3834587149302</v>
      </c>
      <c r="D97" s="43">
        <f t="shared" si="82"/>
        <v>1334.9256925859308</v>
      </c>
      <c r="E97" s="43">
        <f t="shared" si="83"/>
        <v>1036.4274126788548</v>
      </c>
      <c r="F97" s="43">
        <f t="shared" si="84"/>
        <v>1205.8139008210183</v>
      </c>
      <c r="G97" s="43">
        <f t="shared" si="85"/>
        <v>1367.1310218097722</v>
      </c>
      <c r="H97" s="43">
        <f t="shared" si="86"/>
        <v>2457.978562457679</v>
      </c>
      <c r="I97" s="43">
        <f t="shared" si="87"/>
        <v>2784.849423536839</v>
      </c>
      <c r="J97" s="43">
        <f t="shared" si="88"/>
        <v>2079.132902915156</v>
      </c>
      <c r="K97" s="43">
        <f t="shared" si="89"/>
        <v>1487.8358118502044</v>
      </c>
      <c r="L97" s="43">
        <f t="shared" si="90"/>
        <v>1586.667667943047</v>
      </c>
      <c r="M97" s="43">
        <f t="shared" si="91"/>
        <v>807.3866325545212</v>
      </c>
      <c r="N97" s="43">
        <f t="shared" si="92"/>
        <v>837.2362074793026</v>
      </c>
      <c r="O97" s="43">
        <f t="shared" si="93"/>
        <v>585.7929073134161</v>
      </c>
      <c r="P97" s="43">
        <f t="shared" si="94"/>
        <v>611.5607138617653</v>
      </c>
      <c r="Q97" s="43">
        <f t="shared" si="95"/>
        <v>795.0858453150126</v>
      </c>
      <c r="R97" s="43">
        <f t="shared" si="96"/>
        <v>1018.3800038372158</v>
      </c>
      <c r="S97" s="43">
        <f t="shared" si="97"/>
        <v>1536.4152404840315</v>
      </c>
      <c r="T97" s="43">
        <f t="shared" si="98"/>
        <v>1760.8278516997086</v>
      </c>
      <c r="U97" s="43">
        <f t="shared" si="99"/>
        <v>1404.7165109772131</v>
      </c>
      <c r="V97" s="43">
        <f t="shared" si="100"/>
        <v>1577.2125596773933</v>
      </c>
      <c r="W97" s="43">
        <f t="shared" si="101"/>
        <v>1613.8280321322154</v>
      </c>
      <c r="X97" s="43">
        <f t="shared" si="102"/>
        <v>1626.2222333311222</v>
      </c>
      <c r="Z97" s="43">
        <f t="shared" si="103"/>
        <v>1190.8668212513405</v>
      </c>
      <c r="AA97" s="43">
        <f t="shared" si="104"/>
        <v>1259.7623479009208</v>
      </c>
      <c r="AB97" s="43">
        <f t="shared" si="105"/>
        <v>1367.1310218097722</v>
      </c>
      <c r="AC97" s="43">
        <f t="shared" si="106"/>
        <v>2457.978562457679</v>
      </c>
      <c r="AD97" s="43">
        <f t="shared" si="107"/>
        <v>705.515318721309</v>
      </c>
      <c r="AE97" s="43">
        <f t="shared" si="108"/>
        <v>993.5568633914654</v>
      </c>
      <c r="AF97" s="43">
        <f t="shared" si="109"/>
        <v>634.3339704290241</v>
      </c>
      <c r="AG97" s="43">
        <f t="shared" si="110"/>
        <v>998.8934927300684</v>
      </c>
      <c r="AH97" s="43">
        <f t="shared" si="111"/>
        <v>1546.5409876793547</v>
      </c>
      <c r="AI97" s="43">
        <f t="shared" si="112"/>
        <v>1578.934586991199</v>
      </c>
      <c r="AK97" s="43">
        <f t="shared" si="113"/>
        <v>1446.4910467500158</v>
      </c>
      <c r="AL97" s="43">
        <f t="shared" si="114"/>
        <v>812.287488449945</v>
      </c>
      <c r="AM97" s="43">
        <f t="shared" si="115"/>
        <v>1519.4010314293635</v>
      </c>
      <c r="AN97" s="43">
        <f t="shared" si="116"/>
        <v>1113.253617839841</v>
      </c>
      <c r="AO97" s="43"/>
      <c r="AP97" s="43"/>
      <c r="AQ97" s="43"/>
      <c r="AR97" s="43">
        <f t="shared" si="117"/>
        <v>1105.1158994884381</v>
      </c>
      <c r="AS97" s="43">
        <f t="shared" si="118"/>
        <v>1094.4740587766014</v>
      </c>
      <c r="AT97" s="43">
        <f t="shared" si="119"/>
        <v>1219.405595772738</v>
      </c>
      <c r="AU97" s="43">
        <f t="shared" si="120"/>
        <v>926.4949104612041</v>
      </c>
      <c r="AV97" s="43">
        <f t="shared" si="121"/>
        <v>1157.9958612059338</v>
      </c>
      <c r="AW97" s="43">
        <f t="shared" si="122"/>
        <v>1314.762561269028</v>
      </c>
      <c r="AX97" s="43">
        <f t="shared" si="123"/>
        <v>2427.3313508980737</v>
      </c>
      <c r="AY97" s="43">
        <f t="shared" si="124"/>
        <v>2748.057741367002</v>
      </c>
      <c r="AZ97" s="43">
        <f t="shared" si="125"/>
        <v>2058.180857457226</v>
      </c>
      <c r="BA97" s="43">
        <f t="shared" si="126"/>
        <v>1463.952319602981</v>
      </c>
      <c r="BB97" s="43">
        <f t="shared" si="127"/>
        <v>1577.5658440029706</v>
      </c>
      <c r="BC97" s="43">
        <f t="shared" si="128"/>
        <v>650.2605436433298</v>
      </c>
      <c r="BD97" s="43">
        <f t="shared" si="129"/>
        <v>569.3156701665533</v>
      </c>
      <c r="BE97" s="43">
        <f t="shared" si="130"/>
        <v>530.360884493596</v>
      </c>
      <c r="BF97" s="43">
        <f t="shared" si="131"/>
        <v>572.087259671729</v>
      </c>
      <c r="BG97" s="43">
        <f t="shared" si="132"/>
        <v>759.0664513284654</v>
      </c>
      <c r="BH97" s="43">
        <f t="shared" si="133"/>
        <v>964.1969659854655</v>
      </c>
      <c r="BI97" s="43">
        <f t="shared" si="134"/>
        <v>1430.4555463985523</v>
      </c>
      <c r="BJ97" s="43">
        <f t="shared" si="135"/>
        <v>1623.0648147379688</v>
      </c>
      <c r="BK97" s="43">
        <f t="shared" si="136"/>
        <v>1330.1927015463614</v>
      </c>
      <c r="BL97" s="43">
        <f t="shared" si="137"/>
        <v>1360.9766231813912</v>
      </c>
      <c r="BM97" s="43">
        <f t="shared" si="138"/>
        <v>1522.6529839658835</v>
      </c>
      <c r="BN97" s="43">
        <f t="shared" si="139"/>
        <v>1558.0742287984358</v>
      </c>
      <c r="BO97" s="43"/>
      <c r="BP97" s="43">
        <f t="shared" si="140"/>
        <v>1094.2864239913572</v>
      </c>
      <c r="BQ97" s="43">
        <f t="shared" si="141"/>
        <v>1220.3321969653168</v>
      </c>
      <c r="BR97" s="43">
        <f t="shared" si="142"/>
        <v>1314.762561269028</v>
      </c>
      <c r="BS97" s="43">
        <f t="shared" si="143"/>
        <v>2427.3313508980737</v>
      </c>
      <c r="BT97" s="43">
        <f t="shared" si="144"/>
        <v>489.0389618405764</v>
      </c>
      <c r="BU97" s="43">
        <f t="shared" si="145"/>
        <v>640.386882151541</v>
      </c>
      <c r="BV97" s="43">
        <f t="shared" si="146"/>
        <v>583.6387422908851</v>
      </c>
      <c r="BW97" s="43">
        <f t="shared" si="147"/>
        <v>946.2913179480122</v>
      </c>
      <c r="BX97" s="43">
        <f t="shared" si="148"/>
        <v>1424.3197565489877</v>
      </c>
      <c r="BY97" s="43">
        <f t="shared" si="149"/>
        <v>1493.5355057748907</v>
      </c>
      <c r="BZ97" s="43"/>
      <c r="CA97" s="43">
        <f t="shared" si="150"/>
        <v>1392.660157446944</v>
      </c>
      <c r="CB97" s="43">
        <f t="shared" si="151"/>
        <v>657.799079620137</v>
      </c>
      <c r="CC97" s="43">
        <f t="shared" si="152"/>
        <v>1422.0504790881305</v>
      </c>
      <c r="CD97" s="43">
        <f t="shared" si="153"/>
        <v>1023.2067664744604</v>
      </c>
    </row>
    <row r="98" spans="1:82" ht="12.75">
      <c r="A98" s="150">
        <v>2005</v>
      </c>
      <c r="B98" s="43">
        <f t="shared" si="80"/>
        <v>1403.9464502138235</v>
      </c>
      <c r="C98" s="43">
        <f t="shared" si="81"/>
        <v>1583.467563213948</v>
      </c>
      <c r="D98" s="43">
        <f t="shared" si="82"/>
        <v>1604.7143085501168</v>
      </c>
      <c r="E98" s="43">
        <f t="shared" si="83"/>
        <v>1235.1401895133938</v>
      </c>
      <c r="F98" s="43">
        <f t="shared" si="84"/>
        <v>1415.1685160954644</v>
      </c>
      <c r="G98" s="43">
        <f t="shared" si="85"/>
        <v>1591.8730069195697</v>
      </c>
      <c r="H98" s="43">
        <f t="shared" si="86"/>
        <v>2983.4162153928446</v>
      </c>
      <c r="I98" s="43">
        <f t="shared" si="87"/>
        <v>3376.354225945487</v>
      </c>
      <c r="J98" s="43">
        <f t="shared" si="88"/>
        <v>2519.7525196255797</v>
      </c>
      <c r="K98" s="43">
        <f t="shared" si="89"/>
        <v>1754.5567158182234</v>
      </c>
      <c r="L98" s="43">
        <f t="shared" si="90"/>
        <v>1953.26961262279</v>
      </c>
      <c r="M98" s="43">
        <f t="shared" si="91"/>
        <v>974.3196320189228</v>
      </c>
      <c r="N98" s="43">
        <f t="shared" si="92"/>
        <v>1024.1775731064904</v>
      </c>
      <c r="O98" s="43">
        <f t="shared" si="93"/>
        <v>693.4544970041527</v>
      </c>
      <c r="P98" s="43">
        <f t="shared" si="94"/>
        <v>719.5598896868976</v>
      </c>
      <c r="Q98" s="43">
        <f t="shared" si="95"/>
        <v>933.3154949522542</v>
      </c>
      <c r="R98" s="43">
        <f t="shared" si="96"/>
        <v>1206.121412684618</v>
      </c>
      <c r="S98" s="43">
        <f t="shared" si="97"/>
        <v>1817.9929861168719</v>
      </c>
      <c r="T98" s="43">
        <f t="shared" si="98"/>
        <v>2094.5524480315844</v>
      </c>
      <c r="U98" s="43">
        <f t="shared" si="99"/>
        <v>1654.9295324202626</v>
      </c>
      <c r="V98" s="43">
        <f t="shared" si="100"/>
        <v>1868.2984934962858</v>
      </c>
      <c r="W98" s="43">
        <f t="shared" si="101"/>
        <v>1907.663188957837</v>
      </c>
      <c r="X98" s="43">
        <f t="shared" si="102"/>
        <v>1928.9935897104972</v>
      </c>
      <c r="Z98" s="43">
        <f t="shared" si="103"/>
        <v>1433.3069422354702</v>
      </c>
      <c r="AA98" s="43">
        <f t="shared" si="104"/>
        <v>1479.1211122300992</v>
      </c>
      <c r="AB98" s="43">
        <f t="shared" si="105"/>
        <v>1591.8730069195697</v>
      </c>
      <c r="AC98" s="43">
        <f t="shared" si="106"/>
        <v>2983.4162153928446</v>
      </c>
      <c r="AD98" s="43">
        <f t="shared" si="107"/>
        <v>827.7797124250743</v>
      </c>
      <c r="AE98" s="43">
        <f t="shared" si="108"/>
        <v>1226.6163910383784</v>
      </c>
      <c r="AF98" s="43">
        <f t="shared" si="109"/>
        <v>763.310813034064</v>
      </c>
      <c r="AG98" s="43">
        <f t="shared" si="110"/>
        <v>1183.0563894148838</v>
      </c>
      <c r="AH98" s="43">
        <f t="shared" si="111"/>
        <v>1832.2151004956083</v>
      </c>
      <c r="AI98" s="43">
        <f t="shared" si="112"/>
        <v>1867.3843046306495</v>
      </c>
      <c r="AK98" s="43">
        <f t="shared" si="113"/>
        <v>1719.8803136205481</v>
      </c>
      <c r="AL98" s="43">
        <f t="shared" si="114"/>
        <v>977.0510703196435</v>
      </c>
      <c r="AM98" s="43">
        <f t="shared" si="115"/>
        <v>1798.633210303183</v>
      </c>
      <c r="AN98" s="43">
        <f t="shared" si="116"/>
        <v>1325.8873966798478</v>
      </c>
      <c r="AO98" s="43"/>
      <c r="AP98" s="43"/>
      <c r="AQ98" s="43"/>
      <c r="AR98" s="43">
        <f t="shared" si="117"/>
        <v>1297.169780129041</v>
      </c>
      <c r="AS98" s="43">
        <f t="shared" si="118"/>
        <v>1376.6060824869835</v>
      </c>
      <c r="AT98" s="43">
        <f t="shared" si="119"/>
        <v>1434.460309314227</v>
      </c>
      <c r="AU98" s="43">
        <f t="shared" si="120"/>
        <v>1078.7588775126255</v>
      </c>
      <c r="AV98" s="43">
        <f t="shared" si="121"/>
        <v>1337.130327442261</v>
      </c>
      <c r="AW98" s="43">
        <f t="shared" si="122"/>
        <v>1523.4434735699094</v>
      </c>
      <c r="AX98" s="43">
        <f t="shared" si="123"/>
        <v>2937.2949029226056</v>
      </c>
      <c r="AY98" s="43">
        <f t="shared" si="124"/>
        <v>3318.404848604747</v>
      </c>
      <c r="AZ98" s="43">
        <f t="shared" si="125"/>
        <v>2490.557580148686</v>
      </c>
      <c r="BA98" s="43">
        <f t="shared" si="126"/>
        <v>1710.9300920817443</v>
      </c>
      <c r="BB98" s="43">
        <f t="shared" si="127"/>
        <v>1943.2467249584404</v>
      </c>
      <c r="BC98" s="43">
        <f t="shared" si="128"/>
        <v>821.2166143261319</v>
      </c>
      <c r="BD98" s="43">
        <f t="shared" si="129"/>
        <v>748.5823734043576</v>
      </c>
      <c r="BE98" s="43">
        <f t="shared" si="130"/>
        <v>635.3948999724697</v>
      </c>
      <c r="BF98" s="43">
        <f t="shared" si="131"/>
        <v>681.1600578883596</v>
      </c>
      <c r="BG98" s="43">
        <f t="shared" si="132"/>
        <v>893.377563019512</v>
      </c>
      <c r="BH98" s="43">
        <f t="shared" si="133"/>
        <v>1155.617842251455</v>
      </c>
      <c r="BI98" s="43">
        <f t="shared" si="134"/>
        <v>1702.4718342266585</v>
      </c>
      <c r="BJ98" s="43">
        <f t="shared" si="135"/>
        <v>1945.8247372909645</v>
      </c>
      <c r="BK98" s="43">
        <f t="shared" si="136"/>
        <v>1579.0795734791648</v>
      </c>
      <c r="BL98" s="43">
        <f t="shared" si="137"/>
        <v>1622.2764560385688</v>
      </c>
      <c r="BM98" s="43">
        <f t="shared" si="138"/>
        <v>1806.4571383500852</v>
      </c>
      <c r="BN98" s="43">
        <f t="shared" si="139"/>
        <v>1861.6241673402058</v>
      </c>
      <c r="BO98" s="43"/>
      <c r="BP98" s="43">
        <f t="shared" si="140"/>
        <v>1314.5057736672447</v>
      </c>
      <c r="BQ98" s="43">
        <f t="shared" si="141"/>
        <v>1412.8343512311346</v>
      </c>
      <c r="BR98" s="43">
        <f t="shared" si="142"/>
        <v>1523.4434735699094</v>
      </c>
      <c r="BS98" s="43">
        <f t="shared" si="143"/>
        <v>2937.2949029226056</v>
      </c>
      <c r="BT98" s="43">
        <f t="shared" si="144"/>
        <v>596.8046776075973</v>
      </c>
      <c r="BU98" s="43">
        <f t="shared" si="145"/>
        <v>835.0812025212365</v>
      </c>
      <c r="BV98" s="43">
        <f t="shared" si="146"/>
        <v>721.9475468585999</v>
      </c>
      <c r="BW98" s="43">
        <f t="shared" si="147"/>
        <v>1136.8995961785963</v>
      </c>
      <c r="BX98" s="43">
        <f t="shared" si="148"/>
        <v>1700.7252720931833</v>
      </c>
      <c r="BY98" s="43">
        <f t="shared" si="149"/>
        <v>1777.6248848492116</v>
      </c>
      <c r="BZ98" s="43"/>
      <c r="CA98" s="43">
        <f t="shared" si="150"/>
        <v>1645.0456010593755</v>
      </c>
      <c r="CB98" s="43">
        <f t="shared" si="151"/>
        <v>823.9390217474057</v>
      </c>
      <c r="CC98" s="43">
        <f t="shared" si="152"/>
        <v>1694.5225988884858</v>
      </c>
      <c r="CD98" s="43">
        <f t="shared" si="153"/>
        <v>1224.3432941645688</v>
      </c>
    </row>
    <row r="105" spans="2:40" ht="12.75" hidden="1">
      <c r="B105" s="142">
        <f>+B111</f>
        <v>0</v>
      </c>
      <c r="C105" s="142">
        <f aca="true" t="shared" si="154" ref="C105:AN105">+C111</f>
        <v>0</v>
      </c>
      <c r="D105" s="142">
        <f t="shared" si="154"/>
        <v>0</v>
      </c>
      <c r="E105" s="142">
        <f t="shared" si="154"/>
        <v>0</v>
      </c>
      <c r="F105" s="142">
        <f t="shared" si="154"/>
        <v>0</v>
      </c>
      <c r="G105" s="142">
        <f t="shared" si="154"/>
        <v>0</v>
      </c>
      <c r="H105" s="142">
        <f t="shared" si="154"/>
        <v>0</v>
      </c>
      <c r="I105" s="142">
        <f t="shared" si="154"/>
        <v>0</v>
      </c>
      <c r="J105" s="142">
        <f t="shared" si="154"/>
        <v>0</v>
      </c>
      <c r="K105" s="142">
        <f t="shared" si="154"/>
        <v>0</v>
      </c>
      <c r="L105" s="142">
        <f t="shared" si="154"/>
        <v>0</v>
      </c>
      <c r="M105" s="142">
        <f t="shared" si="154"/>
        <v>0</v>
      </c>
      <c r="N105" s="142">
        <f t="shared" si="154"/>
        <v>0</v>
      </c>
      <c r="O105" s="142">
        <f t="shared" si="154"/>
        <v>0</v>
      </c>
      <c r="P105" s="142">
        <f t="shared" si="154"/>
        <v>0</v>
      </c>
      <c r="Q105" s="142">
        <f t="shared" si="154"/>
        <v>0</v>
      </c>
      <c r="R105" s="142">
        <f t="shared" si="154"/>
        <v>0</v>
      </c>
      <c r="S105" s="142">
        <f t="shared" si="154"/>
        <v>0</v>
      </c>
      <c r="T105" s="142">
        <f t="shared" si="154"/>
        <v>0</v>
      </c>
      <c r="U105" s="142">
        <f t="shared" si="154"/>
        <v>0</v>
      </c>
      <c r="V105" s="142">
        <f t="shared" si="154"/>
        <v>0</v>
      </c>
      <c r="W105" s="142">
        <f t="shared" si="154"/>
        <v>0</v>
      </c>
      <c r="X105" s="142">
        <f t="shared" si="154"/>
        <v>0</v>
      </c>
      <c r="Y105" s="143"/>
      <c r="Z105" s="142">
        <f t="shared" si="154"/>
        <v>0</v>
      </c>
      <c r="AA105" s="142">
        <f t="shared" si="154"/>
        <v>0</v>
      </c>
      <c r="AB105" s="142">
        <f t="shared" si="154"/>
        <v>0</v>
      </c>
      <c r="AC105" s="142">
        <f t="shared" si="154"/>
        <v>0</v>
      </c>
      <c r="AD105" s="142">
        <f t="shared" si="154"/>
        <v>0</v>
      </c>
      <c r="AE105" s="142">
        <f t="shared" si="154"/>
        <v>0</v>
      </c>
      <c r="AF105" s="142">
        <f t="shared" si="154"/>
        <v>0</v>
      </c>
      <c r="AG105" s="142">
        <f t="shared" si="154"/>
        <v>0</v>
      </c>
      <c r="AH105" s="142">
        <f t="shared" si="154"/>
        <v>0</v>
      </c>
      <c r="AI105" s="142">
        <f t="shared" si="154"/>
        <v>0</v>
      </c>
      <c r="AJ105" s="143"/>
      <c r="AK105" s="142">
        <f t="shared" si="154"/>
        <v>0</v>
      </c>
      <c r="AL105" s="142">
        <f t="shared" si="154"/>
        <v>0</v>
      </c>
      <c r="AM105" s="142">
        <f t="shared" si="154"/>
        <v>0</v>
      </c>
      <c r="AN105" s="142">
        <f t="shared" si="154"/>
        <v>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Cass Business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Key</dc:creator>
  <cp:keywords/>
  <dc:description/>
  <cp:lastModifiedBy>lellison</cp:lastModifiedBy>
  <cp:lastPrinted>2006-12-14T12:51:11Z</cp:lastPrinted>
  <dcterms:created xsi:type="dcterms:W3CDTF">2006-03-18T14:12:44Z</dcterms:created>
  <dcterms:modified xsi:type="dcterms:W3CDTF">2008-07-03T14:58:15Z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